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activeTab="1"/>
  </bookViews>
  <sheets>
    <sheet name="разбегаево" sheetId="1" r:id="rId1"/>
    <sheet name="горбунки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2" l="1"/>
  <c r="F32" i="2"/>
  <c r="G32" i="2"/>
  <c r="H32" i="2"/>
  <c r="I32" i="2"/>
  <c r="J32" i="2"/>
  <c r="K32" i="2"/>
  <c r="L32" i="2"/>
  <c r="M32" i="2"/>
  <c r="N32" i="2"/>
  <c r="O32" i="2"/>
  <c r="P32" i="2"/>
  <c r="Q24" i="2"/>
  <c r="Q25" i="2"/>
  <c r="Q26" i="2"/>
  <c r="Q27" i="2"/>
  <c r="Q28" i="2"/>
  <c r="Q29" i="2"/>
  <c r="Q30" i="2"/>
  <c r="Q31" i="2"/>
  <c r="Q32" i="2"/>
  <c r="Q23" i="2"/>
  <c r="N19" i="1"/>
  <c r="N20" i="1"/>
  <c r="N21" i="1"/>
  <c r="N22" i="1"/>
  <c r="N23" i="1"/>
  <c r="N24" i="1"/>
  <c r="N18" i="1"/>
  <c r="P16" i="2"/>
  <c r="Q16" i="2" s="1"/>
  <c r="Q8" i="2"/>
  <c r="Q9" i="2"/>
  <c r="Q10" i="2"/>
  <c r="Q11" i="2"/>
  <c r="Q12" i="2"/>
  <c r="Q13" i="2"/>
  <c r="Q14" i="2"/>
  <c r="Q15" i="2"/>
  <c r="Q7" i="2"/>
  <c r="M29" i="2" l="1"/>
  <c r="D29" i="2" s="1"/>
  <c r="D30" i="2"/>
  <c r="I27" i="2"/>
  <c r="D27" i="2" s="1"/>
  <c r="D26" i="2"/>
  <c r="D28" i="2"/>
  <c r="D24" i="2"/>
  <c r="D25" i="2"/>
  <c r="D31" i="2"/>
  <c r="D23" i="2"/>
  <c r="W9" i="2"/>
  <c r="R9" i="2" s="1"/>
  <c r="R8" i="2"/>
  <c r="R11" i="2"/>
  <c r="R13" i="2"/>
  <c r="R14" i="2"/>
  <c r="R15" i="2"/>
  <c r="C32" i="2"/>
  <c r="B32" i="2"/>
  <c r="W10" i="2"/>
  <c r="R10" i="2" s="1"/>
  <c r="W8" i="2"/>
  <c r="W7" i="2"/>
  <c r="R7" i="2" s="1"/>
  <c r="Z16" i="2"/>
  <c r="AF16" i="2"/>
  <c r="AE16" i="2"/>
  <c r="AH16" i="2"/>
  <c r="AB16" i="2"/>
  <c r="AG16" i="2"/>
  <c r="T11" i="2"/>
  <c r="T10" i="2"/>
  <c r="AC16" i="2"/>
  <c r="AD16" i="2"/>
  <c r="AA12" i="2"/>
  <c r="R12" i="2" s="1"/>
  <c r="Y16" i="2"/>
  <c r="X16" i="2"/>
  <c r="V16" i="2"/>
  <c r="T16" i="2"/>
  <c r="U16" i="2"/>
  <c r="S16" i="2"/>
  <c r="N8" i="2"/>
  <c r="O8" i="2"/>
  <c r="N9" i="2"/>
  <c r="O9" i="2"/>
  <c r="N10" i="2"/>
  <c r="O10" i="2"/>
  <c r="N11" i="2"/>
  <c r="O11" i="2"/>
  <c r="N12" i="2"/>
  <c r="O12" i="2"/>
  <c r="N13" i="2"/>
  <c r="O13" i="2"/>
  <c r="N14" i="2"/>
  <c r="O14" i="2"/>
  <c r="N15" i="2"/>
  <c r="O15" i="2"/>
  <c r="O7" i="2"/>
  <c r="N7" i="2"/>
  <c r="J16" i="2"/>
  <c r="K16" i="2"/>
  <c r="L16" i="2"/>
  <c r="M16" i="2"/>
  <c r="H16" i="2"/>
  <c r="I16" i="2"/>
  <c r="D16" i="2"/>
  <c r="E16" i="2"/>
  <c r="G16" i="2"/>
  <c r="F16" i="2"/>
  <c r="C16" i="2"/>
  <c r="B16" i="2"/>
  <c r="N16" i="2" s="1"/>
  <c r="P12" i="1"/>
  <c r="D20" i="1"/>
  <c r="D21" i="1"/>
  <c r="D22" i="1"/>
  <c r="D23" i="1"/>
  <c r="D18" i="1"/>
  <c r="M24" i="1"/>
  <c r="M19" i="1"/>
  <c r="D19" i="1" s="1"/>
  <c r="E24" i="1"/>
  <c r="F24" i="1"/>
  <c r="G24" i="1"/>
  <c r="H24" i="1"/>
  <c r="I24" i="1"/>
  <c r="J24" i="1"/>
  <c r="K24" i="1"/>
  <c r="L24" i="1"/>
  <c r="B24" i="1"/>
  <c r="C24" i="1"/>
  <c r="D24" i="1" l="1"/>
  <c r="W16" i="2"/>
  <c r="D32" i="2"/>
  <c r="O16" i="2"/>
  <c r="R16" i="2"/>
  <c r="W11" i="1" l="1"/>
  <c r="W10" i="1"/>
  <c r="W9" i="1"/>
  <c r="W8" i="1"/>
  <c r="W7" i="1"/>
  <c r="R7" i="1" s="1"/>
  <c r="W6" i="1"/>
  <c r="R10" i="1"/>
  <c r="O7" i="1"/>
  <c r="O8" i="1"/>
  <c r="O9" i="1"/>
  <c r="O10" i="1"/>
  <c r="O11" i="1"/>
  <c r="N7" i="1"/>
  <c r="Q7" i="1" s="1"/>
  <c r="N8" i="1"/>
  <c r="N9" i="1"/>
  <c r="N10" i="1"/>
  <c r="N11" i="1"/>
  <c r="O6" i="1"/>
  <c r="N6" i="1"/>
  <c r="H12" i="1"/>
  <c r="I12" i="1"/>
  <c r="Q10" i="1" l="1"/>
  <c r="AH12" i="1"/>
  <c r="AG12" i="1"/>
  <c r="AA9" i="1"/>
  <c r="R9" i="1" s="1"/>
  <c r="Q9" i="1" s="1"/>
  <c r="AF12" i="1"/>
  <c r="AE8" i="1"/>
  <c r="R8" i="1" s="1"/>
  <c r="Q8" i="1" s="1"/>
  <c r="AD12" i="1"/>
  <c r="AC12" i="1"/>
  <c r="AA11" i="1"/>
  <c r="R11" i="1" s="1"/>
  <c r="Q11" i="1" s="1"/>
  <c r="AB12" i="1"/>
  <c r="Z12" i="1"/>
  <c r="Y12" i="1"/>
  <c r="X12" i="1"/>
  <c r="V12" i="1"/>
  <c r="T6" i="1"/>
  <c r="R6" i="1" s="1"/>
  <c r="Q6" i="1" s="1"/>
  <c r="T12" i="1"/>
  <c r="U12" i="1"/>
  <c r="S12" i="1"/>
  <c r="L12" i="1"/>
  <c r="M12" i="1"/>
  <c r="J12" i="1"/>
  <c r="K12" i="1"/>
  <c r="F12" i="1"/>
  <c r="G12" i="1"/>
  <c r="D12" i="1"/>
  <c r="E12" i="1"/>
  <c r="C12" i="1"/>
  <c r="B12" i="1"/>
  <c r="O12" i="1" l="1"/>
  <c r="N12" i="1"/>
  <c r="AA12" i="1"/>
  <c r="R12" i="1"/>
  <c r="AE12" i="1"/>
  <c r="W12" i="1"/>
  <c r="Q12" i="1" l="1"/>
</calcChain>
</file>

<file path=xl/sharedStrings.xml><?xml version="1.0" encoding="utf-8"?>
<sst xmlns="http://schemas.openxmlformats.org/spreadsheetml/2006/main" count="152" uniqueCount="71">
  <si>
    <t>Разбегаево</t>
  </si>
  <si>
    <t>д.45</t>
  </si>
  <si>
    <t>д.47</t>
  </si>
  <si>
    <t>д.49</t>
  </si>
  <si>
    <t>д.51</t>
  </si>
  <si>
    <t>д.53</t>
  </si>
  <si>
    <t>д.55</t>
  </si>
  <si>
    <t>ИТОГО</t>
  </si>
  <si>
    <t>начислено</t>
  </si>
  <si>
    <t>оплачено</t>
  </si>
  <si>
    <t>Всего по содержанию</t>
  </si>
  <si>
    <t>Затраты</t>
  </si>
  <si>
    <t>ВДГО</t>
  </si>
  <si>
    <t>Всего затраты</t>
  </si>
  <si>
    <t>установка окон</t>
  </si>
  <si>
    <t>ремонт кровли</t>
  </si>
  <si>
    <t>ремонт системы гвс</t>
  </si>
  <si>
    <t>замена доводчик</t>
  </si>
  <si>
    <t>ремонт подъездов</t>
  </si>
  <si>
    <t>2020г</t>
  </si>
  <si>
    <t>Горбунки</t>
  </si>
  <si>
    <t>14-1</t>
  </si>
  <si>
    <t>14-2</t>
  </si>
  <si>
    <t>14-3</t>
  </si>
  <si>
    <t>18</t>
  </si>
  <si>
    <t>19</t>
  </si>
  <si>
    <t>20</t>
  </si>
  <si>
    <t>Содержание</t>
  </si>
  <si>
    <t>Текущий ремонт</t>
  </si>
  <si>
    <t>ХВС СОИ</t>
  </si>
  <si>
    <t>Эл/энергия СОИ</t>
  </si>
  <si>
    <t>ТБО</t>
  </si>
  <si>
    <t>ГВС СОИ</t>
  </si>
  <si>
    <t>Остаток по дому от начисленного</t>
  </si>
  <si>
    <t>герметизация  швов</t>
  </si>
  <si>
    <t>замена светильников</t>
  </si>
  <si>
    <t>ремонт канализации</t>
  </si>
  <si>
    <t>Доход от предоставления аренды по услугам интернет</t>
  </si>
  <si>
    <t>Всего Затраты</t>
  </si>
  <si>
    <t>Дезинфекция</t>
  </si>
  <si>
    <t>АДС</t>
  </si>
  <si>
    <t>Зарплата</t>
  </si>
  <si>
    <t>Общепроизводственные затраты</t>
  </si>
  <si>
    <t>Материалы</t>
  </si>
  <si>
    <t>Обследование вентканалов</t>
  </si>
  <si>
    <t>Общехозяйственные затраты</t>
  </si>
  <si>
    <t>Проверка смет, Технадзор,Техобследование</t>
  </si>
  <si>
    <t>Спецоценка условий труда</t>
  </si>
  <si>
    <t>окраска фасад стены</t>
  </si>
  <si>
    <t>Услуги ЕИРЦ</t>
  </si>
  <si>
    <t>Уборка общего имущества, з/пл</t>
  </si>
  <si>
    <t>Уборка общего имущества, материалы</t>
  </si>
  <si>
    <t>Транспортный цех</t>
  </si>
  <si>
    <t>Услуги мобильной связи</t>
  </si>
  <si>
    <t>Услуги банка</t>
  </si>
  <si>
    <t>Налог  на прибыль</t>
  </si>
  <si>
    <t xml:space="preserve">Эл/энергия СОИ </t>
  </si>
  <si>
    <t>Проверка смет, техобследование</t>
  </si>
  <si>
    <t>Хим. анализ воды</t>
  </si>
  <si>
    <t>Ремонт освещения</t>
  </si>
  <si>
    <t>Герметизация швов</t>
  </si>
  <si>
    <t>Ремонт кровли</t>
  </si>
  <si>
    <t>Ремонт балконной плиты</t>
  </si>
  <si>
    <t>Ремонт системы отопления</t>
  </si>
  <si>
    <t>Подготовка элеваторного узла</t>
  </si>
  <si>
    <t xml:space="preserve"> Ремонт электросетей</t>
  </si>
  <si>
    <t>Замена задвижки ХВС</t>
  </si>
  <si>
    <t>Ремонт  канализации</t>
  </si>
  <si>
    <t>Покраска дверей</t>
  </si>
  <si>
    <t>Ремонт ограждения  лестниц</t>
  </si>
  <si>
    <t>Ремонт системы отопления(хомуты)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</si>
</sst>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2" borderId="1" xfId="0" applyFont="1" applyFill="1" applyBorder="1"/>
    <xf numFmtId="0" fontId="1" fillId="0" borderId="1" xfId="0" applyFont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4" fontId="1" fillId="0" borderId="1" xfId="0" applyNumberFormat="1" applyFont="1" applyFill="1" applyBorder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/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7"/>
  <sheetViews>
    <sheetView topLeftCell="AA1" workbookViewId="0">
      <selection activeCell="AH17" sqref="AH17"/>
    </sheetView>
  </sheetViews>
  <sheetFormatPr defaultRowHeight="15.75" x14ac:dyDescent="0.25"/>
  <cols>
    <col min="1" max="1" width="18.28515625" style="1" customWidth="1"/>
    <col min="2" max="2" width="16.28515625" style="1" customWidth="1"/>
    <col min="3" max="3" width="15.7109375" style="1" customWidth="1"/>
    <col min="4" max="5" width="14.5703125" style="1" customWidth="1"/>
    <col min="6" max="6" width="11.28515625" style="1" customWidth="1"/>
    <col min="7" max="7" width="11.7109375" style="1" customWidth="1"/>
    <col min="8" max="8" width="11.85546875" style="1" customWidth="1"/>
    <col min="9" max="9" width="12.140625" style="1" customWidth="1"/>
    <col min="10" max="11" width="12.7109375" style="1" customWidth="1"/>
    <col min="12" max="12" width="17.140625" style="1" customWidth="1"/>
    <col min="13" max="13" width="15" style="1" customWidth="1"/>
    <col min="14" max="14" width="16.7109375" style="1" customWidth="1"/>
    <col min="15" max="15" width="18.85546875" style="1" customWidth="1"/>
    <col min="16" max="16" width="16.7109375" style="1" customWidth="1"/>
    <col min="17" max="18" width="16.42578125" style="1" customWidth="1"/>
    <col min="19" max="19" width="11.140625" style="1" customWidth="1"/>
    <col min="20" max="20" width="13.28515625" style="1" customWidth="1"/>
    <col min="21" max="21" width="10.42578125" style="1" customWidth="1"/>
    <col min="22" max="22" width="13.5703125" style="1" customWidth="1"/>
    <col min="23" max="23" width="13.42578125" style="1" customWidth="1"/>
    <col min="24" max="24" width="12.5703125" style="1" customWidth="1"/>
    <col min="25" max="25" width="14" style="1" customWidth="1"/>
    <col min="26" max="26" width="15.28515625" style="1" customWidth="1"/>
    <col min="27" max="27" width="15.140625" style="1" customWidth="1"/>
    <col min="28" max="28" width="14.28515625" style="1" customWidth="1"/>
    <col min="29" max="29" width="16.28515625" style="1" customWidth="1"/>
    <col min="30" max="30" width="11.85546875" style="1" customWidth="1"/>
    <col min="31" max="31" width="15" style="1" customWidth="1"/>
    <col min="32" max="32" width="12.85546875" style="1" customWidth="1"/>
    <col min="33" max="33" width="12.5703125" style="1" customWidth="1"/>
    <col min="34" max="34" width="12.42578125" style="1" customWidth="1"/>
    <col min="35" max="35" width="12" style="1" customWidth="1"/>
    <col min="36" max="36" width="11.140625" style="1" customWidth="1"/>
    <col min="37" max="16384" width="9.140625" style="1"/>
  </cols>
  <sheetData>
    <row r="1" spans="1:47" x14ac:dyDescent="0.25">
      <c r="D1" s="24" t="s">
        <v>19</v>
      </c>
    </row>
    <row r="2" spans="1:47" x14ac:dyDescent="0.25">
      <c r="O2" s="2"/>
      <c r="P2" s="2"/>
      <c r="Q2" s="2"/>
    </row>
    <row r="3" spans="1:47" ht="18.75" x14ac:dyDescent="0.25">
      <c r="A3" s="25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</row>
    <row r="4" spans="1:47" ht="32.25" customHeight="1" x14ac:dyDescent="0.25">
      <c r="A4" s="25"/>
      <c r="B4" s="15" t="s">
        <v>27</v>
      </c>
      <c r="C4" s="15"/>
      <c r="D4" s="12" t="s">
        <v>29</v>
      </c>
      <c r="E4" s="12"/>
      <c r="F4" s="12" t="s">
        <v>30</v>
      </c>
      <c r="G4" s="12"/>
      <c r="H4" s="13" t="s">
        <v>31</v>
      </c>
      <c r="I4" s="14"/>
      <c r="J4" s="12" t="s">
        <v>32</v>
      </c>
      <c r="K4" s="12"/>
      <c r="L4" s="12" t="s">
        <v>32</v>
      </c>
      <c r="M4" s="12"/>
      <c r="N4" s="15" t="s">
        <v>10</v>
      </c>
      <c r="O4" s="15"/>
      <c r="P4" s="16"/>
      <c r="Q4" s="16"/>
      <c r="R4" s="17" t="s">
        <v>11</v>
      </c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</row>
    <row r="5" spans="1:47" ht="112.5" x14ac:dyDescent="0.25">
      <c r="A5" s="26"/>
      <c r="B5" s="20" t="s">
        <v>8</v>
      </c>
      <c r="C5" s="20" t="s">
        <v>9</v>
      </c>
      <c r="D5" s="20" t="s">
        <v>8</v>
      </c>
      <c r="E5" s="20" t="s">
        <v>9</v>
      </c>
      <c r="F5" s="20" t="s">
        <v>8</v>
      </c>
      <c r="G5" s="20" t="s">
        <v>9</v>
      </c>
      <c r="H5" s="20" t="s">
        <v>8</v>
      </c>
      <c r="I5" s="20" t="s">
        <v>9</v>
      </c>
      <c r="J5" s="20" t="s">
        <v>8</v>
      </c>
      <c r="K5" s="20" t="s">
        <v>9</v>
      </c>
      <c r="L5" s="20" t="s">
        <v>8</v>
      </c>
      <c r="M5" s="20" t="s">
        <v>9</v>
      </c>
      <c r="N5" s="20" t="s">
        <v>8</v>
      </c>
      <c r="O5" s="20" t="s">
        <v>9</v>
      </c>
      <c r="P5" s="21" t="s">
        <v>37</v>
      </c>
      <c r="Q5" s="22" t="s">
        <v>33</v>
      </c>
      <c r="R5" s="22" t="s">
        <v>38</v>
      </c>
      <c r="S5" s="23" t="s">
        <v>12</v>
      </c>
      <c r="T5" s="30" t="s">
        <v>39</v>
      </c>
      <c r="U5" s="23" t="s">
        <v>40</v>
      </c>
      <c r="V5" s="30" t="s">
        <v>41</v>
      </c>
      <c r="W5" s="21" t="s">
        <v>42</v>
      </c>
      <c r="X5" s="21" t="s">
        <v>43</v>
      </c>
      <c r="Y5" s="21" t="s">
        <v>44</v>
      </c>
      <c r="Z5" s="21" t="s">
        <v>45</v>
      </c>
      <c r="AA5" s="21" t="s">
        <v>46</v>
      </c>
      <c r="AB5" s="21" t="s">
        <v>47</v>
      </c>
      <c r="AC5" s="21" t="s">
        <v>30</v>
      </c>
      <c r="AD5" s="21" t="s">
        <v>49</v>
      </c>
      <c r="AE5" s="21" t="s">
        <v>50</v>
      </c>
      <c r="AF5" s="21" t="s">
        <v>51</v>
      </c>
      <c r="AG5" s="21" t="s">
        <v>52</v>
      </c>
      <c r="AH5" s="21" t="s">
        <v>53</v>
      </c>
      <c r="AI5" s="21" t="s">
        <v>54</v>
      </c>
      <c r="AJ5" s="21" t="s">
        <v>55</v>
      </c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</row>
    <row r="6" spans="1:47" ht="18.75" x14ac:dyDescent="0.3">
      <c r="A6" s="27" t="s">
        <v>1</v>
      </c>
      <c r="B6" s="3">
        <v>842026.32</v>
      </c>
      <c r="C6" s="3">
        <v>822929.92000000004</v>
      </c>
      <c r="D6" s="3"/>
      <c r="E6" s="3">
        <v>10.93</v>
      </c>
      <c r="F6" s="3">
        <v>12094.08</v>
      </c>
      <c r="G6" s="3">
        <v>11745.29</v>
      </c>
      <c r="H6" s="3">
        <v>-320.74</v>
      </c>
      <c r="I6" s="3">
        <v>8938.35</v>
      </c>
      <c r="J6" s="3"/>
      <c r="K6" s="3">
        <v>31.28</v>
      </c>
      <c r="L6" s="3"/>
      <c r="M6" s="3"/>
      <c r="N6" s="3">
        <f>B6+D6+F6+J6+L6+H6</f>
        <v>853799.65999999992</v>
      </c>
      <c r="O6" s="3">
        <f>C6+E6+G6+K6+M6+I6</f>
        <v>843655.77000000014</v>
      </c>
      <c r="P6" s="5">
        <v>7200</v>
      </c>
      <c r="Q6" s="6">
        <f>N6+P6-R6</f>
        <v>20965.671806014609</v>
      </c>
      <c r="R6" s="7">
        <f>S6+T6+U6+V6+W6+X6+Y6+Z6+AA6+AB6+AC6+AD6+AE6+AF6+AG6+AH6+AI6+AJ6</f>
        <v>840033.98819398531</v>
      </c>
      <c r="S6" s="3">
        <v>11688</v>
      </c>
      <c r="T6" s="3">
        <f>3800+7000</f>
        <v>10800</v>
      </c>
      <c r="U6" s="3">
        <v>22440.7</v>
      </c>
      <c r="V6" s="3">
        <v>277698.96999999997</v>
      </c>
      <c r="W6" s="3">
        <f>169.06+153.35+316.95+169.05+281.72</f>
        <v>1090.1299999999999</v>
      </c>
      <c r="X6" s="3">
        <v>3113.38</v>
      </c>
      <c r="Y6" s="3">
        <v>3130.34</v>
      </c>
      <c r="Z6" s="3">
        <v>239425</v>
      </c>
      <c r="AA6" s="3"/>
      <c r="AB6" s="3">
        <v>779.77</v>
      </c>
      <c r="AC6" s="3">
        <v>15443.27</v>
      </c>
      <c r="AD6" s="3">
        <v>47194.41</v>
      </c>
      <c r="AE6" s="3">
        <v>185321.62</v>
      </c>
      <c r="AF6" s="3">
        <v>3478.53</v>
      </c>
      <c r="AG6" s="3">
        <v>5102.8999999999996</v>
      </c>
      <c r="AH6" s="3">
        <v>1197.98</v>
      </c>
      <c r="AI6" s="3">
        <v>8464.023000000001</v>
      </c>
      <c r="AJ6" s="3">
        <v>3664.9651939851815</v>
      </c>
    </row>
    <row r="7" spans="1:47" ht="18.75" x14ac:dyDescent="0.3">
      <c r="A7" s="27" t="s">
        <v>2</v>
      </c>
      <c r="B7" s="3">
        <v>711577.68</v>
      </c>
      <c r="C7" s="3">
        <v>745316.38</v>
      </c>
      <c r="D7" s="3">
        <v>6564.03</v>
      </c>
      <c r="E7" s="3">
        <v>6421.06</v>
      </c>
      <c r="F7" s="3">
        <v>7028.28</v>
      </c>
      <c r="G7" s="3">
        <v>6939.18</v>
      </c>
      <c r="H7" s="3"/>
      <c r="I7" s="3">
        <v>12844.95</v>
      </c>
      <c r="J7" s="3">
        <v>4679.1000000000004</v>
      </c>
      <c r="K7" s="3">
        <v>4890.21</v>
      </c>
      <c r="L7" s="3">
        <v>6294.86</v>
      </c>
      <c r="M7" s="3">
        <v>8051.2</v>
      </c>
      <c r="N7" s="3">
        <f t="shared" ref="N7:N11" si="0">B7+D7+F7+J7+L7+H7</f>
        <v>736143.95000000007</v>
      </c>
      <c r="O7" s="3">
        <f t="shared" ref="O7:O11" si="1">C7+E7+G7+K7+M7+I7</f>
        <v>784462.98</v>
      </c>
      <c r="P7" s="5">
        <v>7200</v>
      </c>
      <c r="Q7" s="6">
        <f t="shared" ref="Q7:Q12" si="2">N7+P7-R7</f>
        <v>46772.718913649325</v>
      </c>
      <c r="R7" s="7">
        <f t="shared" ref="R7:R11" si="3">S7+T7+U7+V7+W7+X7+Y7+Z7+AA7+AB7+AC7+AD7+AE7+AF7+AG7+AH7+AI7+AJ7</f>
        <v>696571.23108635074</v>
      </c>
      <c r="S7" s="3">
        <v>11688</v>
      </c>
      <c r="T7" s="3"/>
      <c r="U7" s="3">
        <v>18781.509999999998</v>
      </c>
      <c r="V7" s="3">
        <v>232301.29</v>
      </c>
      <c r="W7" s="3">
        <f>141.48+128.34+265.28+141.48+235.78</f>
        <v>912.3599999999999</v>
      </c>
      <c r="X7" s="3">
        <v>1498</v>
      </c>
      <c r="Y7" s="3">
        <v>3130.34</v>
      </c>
      <c r="Z7" s="3">
        <v>200384.86</v>
      </c>
      <c r="AA7" s="3"/>
      <c r="AB7" s="3">
        <v>652.62</v>
      </c>
      <c r="AC7" s="3">
        <v>9337.02</v>
      </c>
      <c r="AD7" s="3">
        <v>41324.44</v>
      </c>
      <c r="AE7" s="3">
        <v>155835.64000000001</v>
      </c>
      <c r="AF7" s="3">
        <v>4487.4799999999996</v>
      </c>
      <c r="AG7" s="3">
        <v>4270.8500000000004</v>
      </c>
      <c r="AH7" s="3">
        <v>1002.52</v>
      </c>
      <c r="AI7" s="3">
        <v>7805.5638000000017</v>
      </c>
      <c r="AJ7" s="3">
        <v>3158.737286350693</v>
      </c>
    </row>
    <row r="8" spans="1:47" ht="18.75" x14ac:dyDescent="0.3">
      <c r="A8" s="27" t="s">
        <v>3</v>
      </c>
      <c r="B8" s="3">
        <v>467368.16</v>
      </c>
      <c r="C8" s="3">
        <v>349108.31</v>
      </c>
      <c r="D8" s="3">
        <v>1687.49</v>
      </c>
      <c r="E8" s="3">
        <v>1986.44</v>
      </c>
      <c r="F8" s="3">
        <v>17288.46</v>
      </c>
      <c r="G8" s="3">
        <v>13012.38</v>
      </c>
      <c r="H8" s="3"/>
      <c r="I8" s="3"/>
      <c r="J8" s="3"/>
      <c r="K8" s="3"/>
      <c r="L8" s="3">
        <v>6419.87</v>
      </c>
      <c r="M8" s="3">
        <v>5684.75</v>
      </c>
      <c r="N8" s="3">
        <f t="shared" si="0"/>
        <v>492763.98</v>
      </c>
      <c r="O8" s="3">
        <f t="shared" si="1"/>
        <v>369791.88</v>
      </c>
      <c r="P8" s="5">
        <v>5200</v>
      </c>
      <c r="Q8" s="6">
        <f t="shared" si="2"/>
        <v>-1923.4712827712647</v>
      </c>
      <c r="R8" s="7">
        <f t="shared" si="3"/>
        <v>499887.45128277125</v>
      </c>
      <c r="S8" s="3">
        <v>9350.4</v>
      </c>
      <c r="T8" s="3"/>
      <c r="U8" s="3">
        <v>14928.38</v>
      </c>
      <c r="V8" s="3">
        <v>185410.53</v>
      </c>
      <c r="W8" s="3">
        <f>124.32+112.78+233.12+124.33+207.2</f>
        <v>801.75</v>
      </c>
      <c r="X8" s="3">
        <v>9720</v>
      </c>
      <c r="Y8" s="3">
        <v>3130.34</v>
      </c>
      <c r="Z8" s="3">
        <v>123528.08</v>
      </c>
      <c r="AA8" s="3"/>
      <c r="AB8" s="3">
        <v>573.5</v>
      </c>
      <c r="AC8" s="3">
        <v>2042.01</v>
      </c>
      <c r="AD8" s="3">
        <v>16207.64</v>
      </c>
      <c r="AE8" s="3">
        <f>52010.6+70386.15</f>
        <v>122396.75</v>
      </c>
      <c r="AF8" s="3">
        <v>1855.19</v>
      </c>
      <c r="AG8" s="3">
        <v>3350.88</v>
      </c>
      <c r="AH8" s="3">
        <v>779.67</v>
      </c>
      <c r="AI8" s="3">
        <v>3697.9187999999999</v>
      </c>
      <c r="AJ8" s="3">
        <v>2114.4124827712935</v>
      </c>
    </row>
    <row r="9" spans="1:47" ht="18.75" x14ac:dyDescent="0.3">
      <c r="A9" s="27" t="s">
        <v>4</v>
      </c>
      <c r="B9" s="3">
        <v>693269.34</v>
      </c>
      <c r="C9" s="3">
        <v>598812.1</v>
      </c>
      <c r="D9" s="3">
        <v>8601.27</v>
      </c>
      <c r="E9" s="3">
        <v>7749.06</v>
      </c>
      <c r="F9" s="3">
        <v>9218.2199999999993</v>
      </c>
      <c r="G9" s="3">
        <v>8738.2900000000009</v>
      </c>
      <c r="H9" s="3"/>
      <c r="I9" s="3">
        <v>12844.95</v>
      </c>
      <c r="J9" s="3">
        <v>6136.35</v>
      </c>
      <c r="K9" s="3">
        <v>5121.95</v>
      </c>
      <c r="L9" s="3">
        <v>8255.3799999999992</v>
      </c>
      <c r="M9" s="3">
        <v>9972.7800000000007</v>
      </c>
      <c r="N9" s="3">
        <f t="shared" si="0"/>
        <v>725480.55999999994</v>
      </c>
      <c r="O9" s="3">
        <f t="shared" si="1"/>
        <v>643239.13</v>
      </c>
      <c r="P9" s="5">
        <v>7200</v>
      </c>
      <c r="Q9" s="6">
        <f t="shared" si="2"/>
        <v>73758.987203113851</v>
      </c>
      <c r="R9" s="7">
        <f t="shared" si="3"/>
        <v>658921.57279688609</v>
      </c>
      <c r="S9" s="3">
        <v>9350.4</v>
      </c>
      <c r="T9" s="3">
        <v>11270</v>
      </c>
      <c r="U9" s="3">
        <v>16381.72</v>
      </c>
      <c r="V9" s="3">
        <v>200415.92</v>
      </c>
      <c r="W9" s="3">
        <f>123.4+111.95+231.38+123.4+205.66</f>
        <v>795.79</v>
      </c>
      <c r="X9" s="3">
        <v>646.13</v>
      </c>
      <c r="Y9" s="3">
        <v>3130.34</v>
      </c>
      <c r="Z9" s="3">
        <v>174780.64</v>
      </c>
      <c r="AA9" s="3">
        <f>17200+15900+2000</f>
        <v>35100</v>
      </c>
      <c r="AB9" s="3">
        <v>569.23</v>
      </c>
      <c r="AC9" s="3">
        <v>3381.62</v>
      </c>
      <c r="AD9" s="3">
        <v>42808.27</v>
      </c>
      <c r="AE9" s="3">
        <v>143349.1</v>
      </c>
      <c r="AF9" s="3">
        <v>2797.48</v>
      </c>
      <c r="AG9" s="3">
        <v>3725.13</v>
      </c>
      <c r="AH9" s="3">
        <v>874.43</v>
      </c>
      <c r="AI9" s="3">
        <v>6432.3913000000011</v>
      </c>
      <c r="AJ9" s="3">
        <v>3112.981496886011</v>
      </c>
    </row>
    <row r="10" spans="1:47" ht="18.75" x14ac:dyDescent="0.3">
      <c r="A10" s="27" t="s">
        <v>5</v>
      </c>
      <c r="B10" s="3">
        <v>467238.02</v>
      </c>
      <c r="C10" s="3">
        <v>429941.31</v>
      </c>
      <c r="D10" s="3">
        <v>6459</v>
      </c>
      <c r="E10" s="3">
        <v>5475.51</v>
      </c>
      <c r="F10" s="3">
        <v>6913.44</v>
      </c>
      <c r="G10" s="3">
        <v>6226.19</v>
      </c>
      <c r="H10" s="3"/>
      <c r="I10" s="3">
        <v>14504.94</v>
      </c>
      <c r="J10" s="3">
        <v>4602.21</v>
      </c>
      <c r="K10" s="3">
        <v>3856.48</v>
      </c>
      <c r="L10" s="3">
        <v>6191.48</v>
      </c>
      <c r="M10" s="3">
        <v>7093.54</v>
      </c>
      <c r="N10" s="3">
        <f t="shared" si="0"/>
        <v>491404.15</v>
      </c>
      <c r="O10" s="3">
        <f t="shared" si="1"/>
        <v>467097.97</v>
      </c>
      <c r="P10" s="5">
        <v>7200</v>
      </c>
      <c r="Q10" s="6">
        <f t="shared" si="2"/>
        <v>10500.602743569005</v>
      </c>
      <c r="R10" s="7">
        <f t="shared" si="3"/>
        <v>488103.54725643102</v>
      </c>
      <c r="S10" s="3">
        <v>7012.8</v>
      </c>
      <c r="T10" s="3">
        <v>3000</v>
      </c>
      <c r="U10" s="3">
        <v>12713.31</v>
      </c>
      <c r="V10" s="3">
        <v>155536.19</v>
      </c>
      <c r="W10" s="3">
        <f>95.76+86.88+179.57+95.77+159.6</f>
        <v>617.57999999999993</v>
      </c>
      <c r="X10" s="3">
        <v>239.31</v>
      </c>
      <c r="Y10" s="3">
        <v>3130.34</v>
      </c>
      <c r="Z10" s="3">
        <v>135641.51999999999</v>
      </c>
      <c r="AA10" s="3">
        <v>3000</v>
      </c>
      <c r="AB10" s="3">
        <v>441.76</v>
      </c>
      <c r="AC10" s="3">
        <v>2744.16</v>
      </c>
      <c r="AD10" s="3">
        <v>27127.83</v>
      </c>
      <c r="AE10" s="3">
        <v>124164.45</v>
      </c>
      <c r="AF10" s="3">
        <v>2385.13</v>
      </c>
      <c r="AG10" s="3">
        <v>2890.96</v>
      </c>
      <c r="AH10" s="3">
        <v>678.65</v>
      </c>
      <c r="AI10" s="3">
        <v>4670.9797000000008</v>
      </c>
      <c r="AJ10" s="3">
        <v>2108.5775564310061</v>
      </c>
    </row>
    <row r="11" spans="1:47" ht="18.75" x14ac:dyDescent="0.3">
      <c r="A11" s="27" t="s">
        <v>6</v>
      </c>
      <c r="B11" s="3">
        <v>701123.23</v>
      </c>
      <c r="C11" s="3">
        <v>673973.63</v>
      </c>
      <c r="D11" s="3"/>
      <c r="E11" s="3">
        <v>6.1</v>
      </c>
      <c r="F11" s="3">
        <v>6314.77</v>
      </c>
      <c r="G11" s="3">
        <v>8263.7900000000009</v>
      </c>
      <c r="H11" s="3"/>
      <c r="I11" s="3">
        <v>14515.74</v>
      </c>
      <c r="J11" s="3"/>
      <c r="K11" s="3">
        <v>20.65</v>
      </c>
      <c r="L11" s="3"/>
      <c r="M11" s="3"/>
      <c r="N11" s="3">
        <f t="shared" si="0"/>
        <v>707438</v>
      </c>
      <c r="O11" s="3">
        <f t="shared" si="1"/>
        <v>696779.91</v>
      </c>
      <c r="P11" s="5">
        <v>7200</v>
      </c>
      <c r="Q11" s="6">
        <f t="shared" si="2"/>
        <v>-78535.025083575631</v>
      </c>
      <c r="R11" s="7">
        <f t="shared" si="3"/>
        <v>793173.02508357563</v>
      </c>
      <c r="S11" s="3">
        <v>10519.2</v>
      </c>
      <c r="T11" s="3"/>
      <c r="U11" s="3">
        <v>19377.830000000002</v>
      </c>
      <c r="V11" s="3">
        <v>237070.84</v>
      </c>
      <c r="W11" s="3">
        <f>145.98+132.42+273.7+145.97+243.26</f>
        <v>941.32999999999993</v>
      </c>
      <c r="X11" s="3">
        <v>1164</v>
      </c>
      <c r="Y11" s="3">
        <v>3130.34</v>
      </c>
      <c r="Z11" s="3">
        <v>206747.01</v>
      </c>
      <c r="AA11" s="3">
        <f>12000+15500</f>
        <v>27500</v>
      </c>
      <c r="AB11" s="3">
        <v>673.34</v>
      </c>
      <c r="AC11" s="3">
        <v>5686.48</v>
      </c>
      <c r="AD11" s="3">
        <v>49925.68</v>
      </c>
      <c r="AE11" s="3">
        <v>211859.93</v>
      </c>
      <c r="AF11" s="3">
        <v>3134.26</v>
      </c>
      <c r="AG11" s="3">
        <v>4406.4399999999996</v>
      </c>
      <c r="AH11" s="3">
        <v>1034.3599999999999</v>
      </c>
      <c r="AI11" s="3">
        <v>6967.7991000000002</v>
      </c>
      <c r="AJ11" s="3">
        <v>3034.1859835758173</v>
      </c>
    </row>
    <row r="12" spans="1:47" ht="18.75" x14ac:dyDescent="0.3">
      <c r="A12" s="28" t="s">
        <v>7</v>
      </c>
      <c r="B12" s="3">
        <f>SUM(B6:B11)</f>
        <v>3882602.75</v>
      </c>
      <c r="C12" s="3">
        <f>SUM(C6:C11)</f>
        <v>3620081.65</v>
      </c>
      <c r="D12" s="3">
        <f>SUM(D6:D11)</f>
        <v>23311.79</v>
      </c>
      <c r="E12" s="3">
        <f>SUM(E6:E11)</f>
        <v>21649.1</v>
      </c>
      <c r="F12" s="3">
        <f t="shared" ref="F12:G12" si="4">SUM(F6:F11)</f>
        <v>58857.25</v>
      </c>
      <c r="G12" s="3">
        <f t="shared" si="4"/>
        <v>54925.120000000003</v>
      </c>
      <c r="H12" s="3">
        <f>SUM(H6:H11)</f>
        <v>-320.74</v>
      </c>
      <c r="I12" s="3">
        <f>SUM(I6:I11)</f>
        <v>63648.93</v>
      </c>
      <c r="J12" s="3">
        <f>SUM(J6:J11)</f>
        <v>15417.66</v>
      </c>
      <c r="K12" s="3">
        <f>SUM(K6:K11)</f>
        <v>13920.569999999998</v>
      </c>
      <c r="L12" s="3">
        <f>SUM(L7:L11)</f>
        <v>27161.59</v>
      </c>
      <c r="M12" s="3">
        <f>SUM(M7:M11)</f>
        <v>30802.270000000004</v>
      </c>
      <c r="N12" s="3">
        <f t="shared" ref="N12" si="5">B12+D12+F12+J12+L12</f>
        <v>4007351.04</v>
      </c>
      <c r="O12" s="3">
        <f t="shared" ref="O12" si="6">C12+E12+G12+K12+M12</f>
        <v>3741378.71</v>
      </c>
      <c r="P12" s="5">
        <f>SUM(P6:P11)</f>
        <v>41200</v>
      </c>
      <c r="Q12" s="6">
        <f t="shared" si="2"/>
        <v>71860.224299999885</v>
      </c>
      <c r="R12" s="7">
        <f>SUM(R6:R11)</f>
        <v>3976690.8157000002</v>
      </c>
      <c r="S12" s="3">
        <f t="shared" ref="S12:AH12" si="7">SUM(S6:S11)</f>
        <v>59608.800000000003</v>
      </c>
      <c r="T12" s="3">
        <f t="shared" si="7"/>
        <v>25070</v>
      </c>
      <c r="U12" s="3">
        <f t="shared" si="7"/>
        <v>104623.45</v>
      </c>
      <c r="V12" s="3">
        <f t="shared" si="7"/>
        <v>1288433.7400000002</v>
      </c>
      <c r="W12" s="3">
        <f t="shared" si="7"/>
        <v>5158.9399999999996</v>
      </c>
      <c r="X12" s="3">
        <f t="shared" si="7"/>
        <v>16380.82</v>
      </c>
      <c r="Y12" s="3">
        <f t="shared" si="7"/>
        <v>18782.04</v>
      </c>
      <c r="Z12" s="3">
        <f t="shared" si="7"/>
        <v>1080507.1099999999</v>
      </c>
      <c r="AA12" s="3">
        <f t="shared" si="7"/>
        <v>65600</v>
      </c>
      <c r="AB12" s="3">
        <f t="shared" si="7"/>
        <v>3690.2200000000003</v>
      </c>
      <c r="AC12" s="3">
        <f t="shared" si="7"/>
        <v>38634.559999999998</v>
      </c>
      <c r="AD12" s="3">
        <f t="shared" si="7"/>
        <v>224588.27000000002</v>
      </c>
      <c r="AE12" s="3">
        <f t="shared" si="7"/>
        <v>942927.49</v>
      </c>
      <c r="AF12" s="3">
        <f t="shared" si="7"/>
        <v>18138.07</v>
      </c>
      <c r="AG12" s="3">
        <f t="shared" si="7"/>
        <v>23747.16</v>
      </c>
      <c r="AH12" s="3">
        <f t="shared" si="7"/>
        <v>5567.61</v>
      </c>
      <c r="AI12" s="8">
        <v>38038.675700000007</v>
      </c>
      <c r="AJ12" s="3">
        <v>17193.86</v>
      </c>
    </row>
    <row r="13" spans="1:47" ht="18.75" x14ac:dyDescent="0.3">
      <c r="A13" s="9"/>
    </row>
    <row r="14" spans="1:47" ht="18.75" x14ac:dyDescent="0.3">
      <c r="A14" s="9"/>
    </row>
    <row r="15" spans="1:47" ht="18.75" x14ac:dyDescent="0.25">
      <c r="A15" s="25" t="s">
        <v>0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1:47" ht="18.75" x14ac:dyDescent="0.25">
      <c r="A16" s="25"/>
      <c r="B16" s="15" t="s">
        <v>28</v>
      </c>
      <c r="C16" s="15"/>
      <c r="D16" s="29" t="s">
        <v>13</v>
      </c>
      <c r="E16" s="12" t="s">
        <v>11</v>
      </c>
      <c r="F16" s="12"/>
      <c r="G16" s="12"/>
      <c r="H16" s="12"/>
      <c r="I16" s="12"/>
      <c r="J16" s="12"/>
      <c r="K16" s="12"/>
      <c r="L16" s="12"/>
      <c r="M16" s="12"/>
      <c r="N16" s="20"/>
      <c r="O16" s="19"/>
      <c r="P16" s="19"/>
      <c r="Q16" s="19"/>
      <c r="R16" s="19"/>
      <c r="S16" s="19"/>
      <c r="T16" s="19"/>
      <c r="U16" s="19"/>
      <c r="V16" s="19"/>
    </row>
    <row r="17" spans="1:22" ht="75" x14ac:dyDescent="0.25">
      <c r="A17" s="26"/>
      <c r="B17" s="20" t="s">
        <v>8</v>
      </c>
      <c r="C17" s="20" t="s">
        <v>9</v>
      </c>
      <c r="D17" s="29"/>
      <c r="E17" s="21" t="s">
        <v>14</v>
      </c>
      <c r="F17" s="21" t="s">
        <v>34</v>
      </c>
      <c r="G17" s="21" t="s">
        <v>15</v>
      </c>
      <c r="H17" s="30" t="s">
        <v>35</v>
      </c>
      <c r="I17" s="30" t="s">
        <v>16</v>
      </c>
      <c r="J17" s="30" t="s">
        <v>48</v>
      </c>
      <c r="K17" s="30" t="s">
        <v>17</v>
      </c>
      <c r="L17" s="30" t="s">
        <v>36</v>
      </c>
      <c r="M17" s="30" t="s">
        <v>18</v>
      </c>
      <c r="N17" s="22" t="s">
        <v>33</v>
      </c>
      <c r="O17" s="19"/>
      <c r="P17" s="19"/>
      <c r="Q17" s="19"/>
      <c r="R17" s="19"/>
      <c r="S17" s="19"/>
      <c r="T17" s="19"/>
      <c r="U17" s="19"/>
      <c r="V17" s="19"/>
    </row>
    <row r="18" spans="1:22" ht="18.75" x14ac:dyDescent="0.3">
      <c r="A18" s="27" t="s">
        <v>1</v>
      </c>
      <c r="B18" s="3">
        <v>305082</v>
      </c>
      <c r="C18" s="3">
        <v>288248.59999999998</v>
      </c>
      <c r="D18" s="3">
        <f>E18+F18+G18+H18+I18+J18+K18+L18+M18</f>
        <v>109079</v>
      </c>
      <c r="E18" s="3">
        <v>104579</v>
      </c>
      <c r="F18" s="3">
        <v>4500</v>
      </c>
      <c r="G18" s="3"/>
      <c r="H18" s="3"/>
      <c r="I18" s="3"/>
      <c r="J18" s="3"/>
      <c r="K18" s="3"/>
      <c r="L18" s="3"/>
      <c r="M18" s="3"/>
      <c r="N18" s="4">
        <f>B18-D18</f>
        <v>196003</v>
      </c>
    </row>
    <row r="19" spans="1:22" ht="18.75" x14ac:dyDescent="0.3">
      <c r="A19" s="27" t="s">
        <v>2</v>
      </c>
      <c r="B19" s="3">
        <v>358426.3</v>
      </c>
      <c r="C19" s="3">
        <v>402466.82</v>
      </c>
      <c r="D19" s="3">
        <f t="shared" ref="D19:D23" si="8">E19+F19+G19+H19+I19+J19+K19+L19+M19</f>
        <v>516559.75</v>
      </c>
      <c r="E19" s="3">
        <v>142943</v>
      </c>
      <c r="F19" s="3">
        <v>5100</v>
      </c>
      <c r="G19" s="3">
        <v>27774.75</v>
      </c>
      <c r="H19" s="3">
        <v>30846</v>
      </c>
      <c r="I19" s="3"/>
      <c r="J19" s="3"/>
      <c r="K19" s="3"/>
      <c r="L19" s="3"/>
      <c r="M19" s="3">
        <f>154420+155476</f>
        <v>309896</v>
      </c>
      <c r="N19" s="4">
        <f t="shared" ref="N19:N24" si="9">B19-D19</f>
        <v>-158133.45000000001</v>
      </c>
    </row>
    <row r="20" spans="1:22" ht="18.75" x14ac:dyDescent="0.3">
      <c r="A20" s="27" t="s">
        <v>3</v>
      </c>
      <c r="B20" s="3">
        <v>77453.19</v>
      </c>
      <c r="C20" s="3">
        <v>58361.29</v>
      </c>
      <c r="D20" s="3">
        <f t="shared" si="8"/>
        <v>194461.51</v>
      </c>
      <c r="E20" s="3"/>
      <c r="F20" s="3">
        <v>1200</v>
      </c>
      <c r="G20" s="3">
        <v>150219.51</v>
      </c>
      <c r="H20" s="3"/>
      <c r="I20" s="3">
        <v>43042</v>
      </c>
      <c r="J20" s="3"/>
      <c r="K20" s="3"/>
      <c r="L20" s="3"/>
      <c r="M20" s="3"/>
      <c r="N20" s="4">
        <f t="shared" si="9"/>
        <v>-117008.32000000001</v>
      </c>
    </row>
    <row r="21" spans="1:22" ht="18.75" x14ac:dyDescent="0.3">
      <c r="A21" s="27" t="s">
        <v>4</v>
      </c>
      <c r="B21" s="3">
        <v>387250.92</v>
      </c>
      <c r="C21" s="3">
        <v>343125.12</v>
      </c>
      <c r="D21" s="3">
        <f t="shared" si="8"/>
        <v>10154.02</v>
      </c>
      <c r="E21" s="3"/>
      <c r="F21" s="3">
        <v>5400</v>
      </c>
      <c r="G21" s="3">
        <v>4754.0200000000004</v>
      </c>
      <c r="H21" s="3"/>
      <c r="I21" s="3"/>
      <c r="J21" s="3"/>
      <c r="K21" s="3"/>
      <c r="L21" s="3"/>
      <c r="M21" s="3"/>
      <c r="N21" s="4">
        <f t="shared" si="9"/>
        <v>377096.89999999997</v>
      </c>
    </row>
    <row r="22" spans="1:22" ht="18.75" x14ac:dyDescent="0.3">
      <c r="A22" s="27" t="s">
        <v>5</v>
      </c>
      <c r="B22" s="3">
        <v>172506</v>
      </c>
      <c r="C22" s="3">
        <v>172987.39</v>
      </c>
      <c r="D22" s="3">
        <f t="shared" si="8"/>
        <v>17972.41</v>
      </c>
      <c r="E22" s="3"/>
      <c r="F22" s="3"/>
      <c r="G22" s="3">
        <v>4754.0200000000004</v>
      </c>
      <c r="H22" s="3"/>
      <c r="I22" s="3"/>
      <c r="J22" s="3">
        <v>13218.39</v>
      </c>
      <c r="K22" s="3"/>
      <c r="L22" s="3"/>
      <c r="M22" s="3"/>
      <c r="N22" s="4">
        <f t="shared" si="9"/>
        <v>154533.59</v>
      </c>
    </row>
    <row r="23" spans="1:22" ht="18.75" x14ac:dyDescent="0.3">
      <c r="A23" s="27" t="s">
        <v>6</v>
      </c>
      <c r="B23" s="3">
        <v>529289.52</v>
      </c>
      <c r="C23" s="3">
        <v>550520.94999999995</v>
      </c>
      <c r="D23" s="3">
        <f t="shared" si="8"/>
        <v>41404.869999999995</v>
      </c>
      <c r="E23" s="3"/>
      <c r="F23" s="3">
        <v>11400</v>
      </c>
      <c r="G23" s="3">
        <v>9220.64</v>
      </c>
      <c r="H23" s="3"/>
      <c r="I23" s="3"/>
      <c r="J23" s="3">
        <v>13218.39</v>
      </c>
      <c r="K23" s="3">
        <v>6237</v>
      </c>
      <c r="L23" s="3">
        <v>1328.84</v>
      </c>
      <c r="M23" s="3"/>
      <c r="N23" s="4">
        <f t="shared" si="9"/>
        <v>487884.65</v>
      </c>
    </row>
    <row r="24" spans="1:22" ht="18.75" x14ac:dyDescent="0.3">
      <c r="A24" s="28" t="s">
        <v>7</v>
      </c>
      <c r="B24" s="3">
        <f t="shared" ref="B24:L24" si="10">SUM(B18:B23)</f>
        <v>1830007.93</v>
      </c>
      <c r="C24" s="3">
        <f t="shared" si="10"/>
        <v>1815710.1700000002</v>
      </c>
      <c r="D24" s="3">
        <f t="shared" si="10"/>
        <v>889631.56</v>
      </c>
      <c r="E24" s="3">
        <f t="shared" si="10"/>
        <v>247522</v>
      </c>
      <c r="F24" s="3">
        <f t="shared" si="10"/>
        <v>27600</v>
      </c>
      <c r="G24" s="3">
        <f t="shared" si="10"/>
        <v>196722.94</v>
      </c>
      <c r="H24" s="3">
        <f t="shared" si="10"/>
        <v>30846</v>
      </c>
      <c r="I24" s="3">
        <f t="shared" si="10"/>
        <v>43042</v>
      </c>
      <c r="J24" s="3">
        <f t="shared" si="10"/>
        <v>26436.78</v>
      </c>
      <c r="K24" s="3">
        <f t="shared" si="10"/>
        <v>6237</v>
      </c>
      <c r="L24" s="3">
        <f t="shared" si="10"/>
        <v>1328.84</v>
      </c>
      <c r="M24" s="3">
        <f t="shared" ref="M24" si="11">154420+155476</f>
        <v>309896</v>
      </c>
      <c r="N24" s="4">
        <f t="shared" si="9"/>
        <v>940376.36999999988</v>
      </c>
    </row>
    <row r="25" spans="1:22" ht="18.75" x14ac:dyDescent="0.3">
      <c r="A25" s="9"/>
    </row>
    <row r="26" spans="1:22" ht="18.75" x14ac:dyDescent="0.3">
      <c r="A26" s="9"/>
    </row>
    <row r="27" spans="1:22" ht="18.75" x14ac:dyDescent="0.3">
      <c r="A27" s="9"/>
    </row>
  </sheetData>
  <mergeCells count="13">
    <mergeCell ref="R4:AJ4"/>
    <mergeCell ref="H4:I4"/>
    <mergeCell ref="A15:A16"/>
    <mergeCell ref="B16:C16"/>
    <mergeCell ref="D16:D17"/>
    <mergeCell ref="E16:M16"/>
    <mergeCell ref="N4:O4"/>
    <mergeCell ref="A3:A4"/>
    <mergeCell ref="D4:E4"/>
    <mergeCell ref="F4:G4"/>
    <mergeCell ref="J4:K4"/>
    <mergeCell ref="L4:M4"/>
    <mergeCell ref="B4:C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33"/>
  <sheetViews>
    <sheetView tabSelected="1" topLeftCell="H1" workbookViewId="0">
      <selection activeCell="R22" sqref="R22"/>
    </sheetView>
  </sheetViews>
  <sheetFormatPr defaultRowHeight="15.75" x14ac:dyDescent="0.25"/>
  <cols>
    <col min="1" max="1" width="23.140625" style="1" customWidth="1"/>
    <col min="2" max="3" width="15.5703125" style="1" customWidth="1"/>
    <col min="4" max="4" width="17.28515625" style="1" customWidth="1"/>
    <col min="5" max="5" width="16.42578125" style="1" customWidth="1"/>
    <col min="6" max="6" width="14.28515625" style="1" customWidth="1"/>
    <col min="7" max="7" width="14.7109375" style="1" customWidth="1"/>
    <col min="8" max="8" width="14.28515625" style="1" customWidth="1"/>
    <col min="9" max="9" width="15.7109375" style="1" customWidth="1"/>
    <col min="10" max="10" width="18.140625" style="1" customWidth="1"/>
    <col min="11" max="11" width="18.42578125" style="1" customWidth="1"/>
    <col min="12" max="12" width="15" style="1" customWidth="1"/>
    <col min="13" max="13" width="17" style="1" customWidth="1"/>
    <col min="14" max="14" width="13" style="1" customWidth="1"/>
    <col min="15" max="15" width="13.85546875" style="1" customWidth="1"/>
    <col min="16" max="16" width="17.28515625" style="1" customWidth="1"/>
    <col min="17" max="17" width="12.7109375" style="1" customWidth="1"/>
    <col min="18" max="18" width="13.85546875" style="1" customWidth="1"/>
    <col min="19" max="19" width="12.140625" style="1" customWidth="1"/>
    <col min="20" max="20" width="12.7109375" style="1" customWidth="1"/>
    <col min="21" max="21" width="10" style="1" customWidth="1"/>
    <col min="22" max="22" width="14" style="1" customWidth="1"/>
    <col min="23" max="23" width="13.7109375" style="1" customWidth="1"/>
    <col min="24" max="24" width="9.140625" style="1" customWidth="1"/>
    <col min="25" max="25" width="17.42578125" style="1" customWidth="1"/>
    <col min="26" max="26" width="14.140625" style="1" customWidth="1"/>
    <col min="27" max="27" width="13.140625" style="1" customWidth="1"/>
    <col min="28" max="28" width="12.85546875" style="1" customWidth="1"/>
    <col min="29" max="29" width="15" style="1" customWidth="1"/>
    <col min="30" max="30" width="12.140625" style="1" customWidth="1"/>
    <col min="31" max="31" width="15.28515625" style="1" customWidth="1"/>
    <col min="32" max="32" width="16.42578125" style="1" customWidth="1"/>
    <col min="33" max="33" width="12.28515625" style="1" customWidth="1"/>
    <col min="34" max="34" width="14.42578125" style="1" customWidth="1"/>
    <col min="35" max="35" width="9.140625" style="1"/>
    <col min="36" max="37" width="11.7109375" style="1" customWidth="1"/>
    <col min="38" max="16384" width="9.140625" style="1"/>
  </cols>
  <sheetData>
    <row r="2" spans="1:50" ht="19.5" x14ac:dyDescent="0.3">
      <c r="A2" s="10"/>
      <c r="B2" s="19"/>
      <c r="C2" s="19"/>
      <c r="D2" s="38" t="s">
        <v>19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</row>
    <row r="3" spans="1:50" ht="18.75" x14ac:dyDescent="0.3">
      <c r="A3" s="10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</row>
    <row r="4" spans="1:50" ht="18.75" x14ac:dyDescent="0.25">
      <c r="A4" s="37" t="s">
        <v>20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</row>
    <row r="5" spans="1:50" ht="27.75" customHeight="1" x14ac:dyDescent="0.25">
      <c r="A5" s="37"/>
      <c r="B5" s="15" t="s">
        <v>27</v>
      </c>
      <c r="C5" s="15"/>
      <c r="D5" s="12" t="s">
        <v>29</v>
      </c>
      <c r="E5" s="12"/>
      <c r="F5" s="12" t="s">
        <v>56</v>
      </c>
      <c r="G5" s="12"/>
      <c r="H5" s="13" t="s">
        <v>31</v>
      </c>
      <c r="I5" s="14"/>
      <c r="J5" s="12" t="s">
        <v>32</v>
      </c>
      <c r="K5" s="12"/>
      <c r="L5" s="12" t="s">
        <v>32</v>
      </c>
      <c r="M5" s="12"/>
      <c r="N5" s="15" t="s">
        <v>10</v>
      </c>
      <c r="O5" s="15"/>
      <c r="P5" s="16"/>
      <c r="Q5" s="16"/>
      <c r="R5" s="17" t="s">
        <v>11</v>
      </c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</row>
    <row r="6" spans="1:50" ht="93.75" x14ac:dyDescent="0.25">
      <c r="A6" s="32"/>
      <c r="B6" s="20" t="s">
        <v>8</v>
      </c>
      <c r="C6" s="20" t="s">
        <v>9</v>
      </c>
      <c r="D6" s="20" t="s">
        <v>8</v>
      </c>
      <c r="E6" s="20" t="s">
        <v>9</v>
      </c>
      <c r="F6" s="20" t="s">
        <v>8</v>
      </c>
      <c r="G6" s="20" t="s">
        <v>9</v>
      </c>
      <c r="H6" s="20" t="s">
        <v>8</v>
      </c>
      <c r="I6" s="20" t="s">
        <v>9</v>
      </c>
      <c r="J6" s="20" t="s">
        <v>8</v>
      </c>
      <c r="K6" s="20" t="s">
        <v>9</v>
      </c>
      <c r="L6" s="20" t="s">
        <v>8</v>
      </c>
      <c r="M6" s="20" t="s">
        <v>9</v>
      </c>
      <c r="N6" s="20" t="s">
        <v>8</v>
      </c>
      <c r="O6" s="20" t="s">
        <v>9</v>
      </c>
      <c r="P6" s="21" t="s">
        <v>37</v>
      </c>
      <c r="Q6" s="22" t="s">
        <v>33</v>
      </c>
      <c r="R6" s="22" t="s">
        <v>38</v>
      </c>
      <c r="S6" s="23" t="s">
        <v>12</v>
      </c>
      <c r="T6" s="30" t="s">
        <v>39</v>
      </c>
      <c r="U6" s="30" t="s">
        <v>40</v>
      </c>
      <c r="V6" s="30" t="s">
        <v>41</v>
      </c>
      <c r="W6" s="21" t="s">
        <v>42</v>
      </c>
      <c r="X6" s="21" t="s">
        <v>43</v>
      </c>
      <c r="Y6" s="21" t="s">
        <v>44</v>
      </c>
      <c r="Z6" s="21" t="s">
        <v>45</v>
      </c>
      <c r="AA6" s="21" t="s">
        <v>57</v>
      </c>
      <c r="AB6" s="21" t="s">
        <v>47</v>
      </c>
      <c r="AC6" s="21" t="s">
        <v>30</v>
      </c>
      <c r="AD6" s="21" t="s">
        <v>49</v>
      </c>
      <c r="AE6" s="21" t="s">
        <v>50</v>
      </c>
      <c r="AF6" s="21" t="s">
        <v>51</v>
      </c>
      <c r="AG6" s="21" t="s">
        <v>52</v>
      </c>
      <c r="AH6" s="21" t="s">
        <v>53</v>
      </c>
      <c r="AI6" s="21" t="s">
        <v>58</v>
      </c>
      <c r="AJ6" s="21" t="s">
        <v>54</v>
      </c>
      <c r="AK6" s="21" t="s">
        <v>55</v>
      </c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</row>
    <row r="7" spans="1:50" ht="18.75" x14ac:dyDescent="0.3">
      <c r="A7" s="33" t="s">
        <v>21</v>
      </c>
      <c r="B7" s="3">
        <v>433991.99</v>
      </c>
      <c r="C7" s="3">
        <v>436712.61</v>
      </c>
      <c r="D7" s="3"/>
      <c r="E7" s="3"/>
      <c r="F7" s="3">
        <v>16218.45</v>
      </c>
      <c r="G7" s="3">
        <v>15763.03</v>
      </c>
      <c r="H7" s="3">
        <v>-1259.3</v>
      </c>
      <c r="I7" s="3">
        <v>4727.25</v>
      </c>
      <c r="J7" s="3"/>
      <c r="K7" s="3"/>
      <c r="L7" s="3"/>
      <c r="M7" s="3"/>
      <c r="N7" s="3">
        <f>B7+D7+F7+H7+J7+L7</f>
        <v>448951.14</v>
      </c>
      <c r="O7" s="3">
        <f>C7+E7+G7+I7+K7+M7</f>
        <v>457202.89</v>
      </c>
      <c r="P7" s="5">
        <v>3168</v>
      </c>
      <c r="Q7" s="6">
        <f>N7+P7-R7</f>
        <v>-43164.51999999996</v>
      </c>
      <c r="R7" s="7">
        <f>S7+T7+U7+V7+W7+X7+Y7+Z7+AA7+AB7+AC7+AD7+AE7+AF7+AG7+AH7+AI7+AJ7+AK7</f>
        <v>495283.66</v>
      </c>
      <c r="S7" s="3">
        <v>7012.8</v>
      </c>
      <c r="T7" s="3">
        <v>3000</v>
      </c>
      <c r="U7" s="3">
        <v>12647.07</v>
      </c>
      <c r="V7" s="3">
        <v>154522.88</v>
      </c>
      <c r="W7" s="3">
        <f>80+386.77</f>
        <v>466.77</v>
      </c>
      <c r="X7" s="3">
        <v>2205.54</v>
      </c>
      <c r="Y7" s="3">
        <v>3130.34</v>
      </c>
      <c r="Z7" s="3">
        <v>119105.74</v>
      </c>
      <c r="AA7" s="3"/>
      <c r="AB7" s="3">
        <v>128.91</v>
      </c>
      <c r="AC7" s="3">
        <v>18623.099999999999</v>
      </c>
      <c r="AD7" s="3">
        <v>17233.580000000002</v>
      </c>
      <c r="AE7" s="3">
        <v>142340.59</v>
      </c>
      <c r="AF7" s="3">
        <v>3954.59</v>
      </c>
      <c r="AG7" s="3">
        <v>2577.5500000000002</v>
      </c>
      <c r="AH7" s="3">
        <v>404.35</v>
      </c>
      <c r="AI7" s="3"/>
      <c r="AJ7" s="3">
        <v>1806.45</v>
      </c>
      <c r="AK7" s="3">
        <v>6123.4</v>
      </c>
    </row>
    <row r="8" spans="1:50" ht="18.75" x14ac:dyDescent="0.3">
      <c r="A8" s="33" t="s">
        <v>22</v>
      </c>
      <c r="B8" s="3">
        <v>98503.55</v>
      </c>
      <c r="C8" s="3">
        <v>92450.43</v>
      </c>
      <c r="D8" s="3"/>
      <c r="E8" s="3"/>
      <c r="F8" s="3">
        <v>4618.74</v>
      </c>
      <c r="G8" s="3">
        <v>4308.42</v>
      </c>
      <c r="H8" s="3"/>
      <c r="I8" s="3">
        <v>3254.27</v>
      </c>
      <c r="J8" s="3"/>
      <c r="K8" s="3"/>
      <c r="L8" s="3"/>
      <c r="M8" s="3"/>
      <c r="N8" s="3">
        <f t="shared" ref="N8:N16" si="0">B8+D8+F8+H8+J8+L8</f>
        <v>103122.29000000001</v>
      </c>
      <c r="O8" s="3">
        <f t="shared" ref="O8:O16" si="1">C8+E8+G8+I8+K8+M8</f>
        <v>100013.12</v>
      </c>
      <c r="P8" s="5">
        <v>864</v>
      </c>
      <c r="Q8" s="6">
        <f t="shared" ref="Q8:Q16" si="2">N8+P8-R8</f>
        <v>-192.80380558894831</v>
      </c>
      <c r="R8" s="7">
        <f t="shared" ref="R8:R15" si="3">S8+T8+U8+V8+W8+X8+Y8+Z8+AA8+AB8+AC8+AD8+AE8+AF8+AG8+AH8+AI8+AJ8+AK8</f>
        <v>104179.09380558896</v>
      </c>
      <c r="S8" s="3">
        <v>1168.8</v>
      </c>
      <c r="T8" s="3"/>
      <c r="U8" s="3">
        <v>2854.36</v>
      </c>
      <c r="V8" s="3">
        <v>31618.9</v>
      </c>
      <c r="W8" s="3">
        <f>20+87.29</f>
        <v>107.29</v>
      </c>
      <c r="X8" s="3">
        <v>460</v>
      </c>
      <c r="Y8" s="3">
        <v>3130.34</v>
      </c>
      <c r="Z8" s="3">
        <v>25502.47</v>
      </c>
      <c r="AA8" s="3"/>
      <c r="AB8" s="3">
        <v>29.1</v>
      </c>
      <c r="AC8" s="3"/>
      <c r="AD8" s="3">
        <v>3959.67</v>
      </c>
      <c r="AE8" s="3">
        <v>32023.69</v>
      </c>
      <c r="AF8" s="3">
        <v>892.53</v>
      </c>
      <c r="AG8" s="3">
        <v>581.72</v>
      </c>
      <c r="AH8" s="3">
        <v>91.24</v>
      </c>
      <c r="AI8" s="3"/>
      <c r="AJ8" s="3">
        <v>413.77380558894168</v>
      </c>
      <c r="AK8" s="3">
        <v>1345.21</v>
      </c>
    </row>
    <row r="9" spans="1:50" ht="18.75" x14ac:dyDescent="0.3">
      <c r="A9" s="33" t="s">
        <v>23</v>
      </c>
      <c r="B9" s="3">
        <v>440932.28</v>
      </c>
      <c r="C9" s="3">
        <v>420710.93</v>
      </c>
      <c r="D9" s="3"/>
      <c r="E9" s="3"/>
      <c r="F9" s="3">
        <v>16442.04</v>
      </c>
      <c r="G9" s="3">
        <v>15468.08</v>
      </c>
      <c r="H9" s="3"/>
      <c r="I9" s="3">
        <v>7004.4</v>
      </c>
      <c r="J9" s="3"/>
      <c r="K9" s="3"/>
      <c r="L9" s="3"/>
      <c r="M9" s="3"/>
      <c r="N9" s="3">
        <f t="shared" si="0"/>
        <v>457374.32</v>
      </c>
      <c r="O9" s="3">
        <f t="shared" si="1"/>
        <v>443183.41000000003</v>
      </c>
      <c r="P9" s="5">
        <v>3168</v>
      </c>
      <c r="Q9" s="6">
        <f t="shared" si="2"/>
        <v>-23826.135019088921</v>
      </c>
      <c r="R9" s="7">
        <f t="shared" si="3"/>
        <v>484368.45501908893</v>
      </c>
      <c r="S9" s="3">
        <v>7012.8</v>
      </c>
      <c r="T9" s="3">
        <v>2000</v>
      </c>
      <c r="U9" s="3">
        <v>12635.37</v>
      </c>
      <c r="V9" s="3">
        <v>149211.99</v>
      </c>
      <c r="W9" s="3">
        <f>180+386.49</f>
        <v>566.49</v>
      </c>
      <c r="X9" s="3">
        <v>3421.42</v>
      </c>
      <c r="Y9" s="3">
        <v>3130.34</v>
      </c>
      <c r="Z9" s="3">
        <v>118995.5</v>
      </c>
      <c r="AA9" s="3"/>
      <c r="AB9" s="3">
        <v>128.79</v>
      </c>
      <c r="AC9" s="3">
        <v>12683.29</v>
      </c>
      <c r="AD9" s="3">
        <v>17607.939999999999</v>
      </c>
      <c r="AE9" s="3">
        <v>142258.32</v>
      </c>
      <c r="AF9" s="3">
        <v>3950.92</v>
      </c>
      <c r="AG9" s="3">
        <v>2575.1799999999998</v>
      </c>
      <c r="AH9" s="3">
        <v>403.97</v>
      </c>
      <c r="AI9" s="3"/>
      <c r="AJ9" s="3">
        <v>1835.1950190890291</v>
      </c>
      <c r="AK9" s="3">
        <v>5950.94</v>
      </c>
    </row>
    <row r="10" spans="1:50" ht="18.75" x14ac:dyDescent="0.3">
      <c r="A10" s="33" t="s">
        <v>24</v>
      </c>
      <c r="B10" s="3">
        <v>1031367.46</v>
      </c>
      <c r="C10" s="3">
        <v>1048158.18</v>
      </c>
      <c r="D10" s="3"/>
      <c r="E10" s="3">
        <v>32.57</v>
      </c>
      <c r="F10" s="3">
        <v>9163.74</v>
      </c>
      <c r="G10" s="3">
        <v>9414.68</v>
      </c>
      <c r="H10" s="3"/>
      <c r="I10" s="3">
        <v>19156.37</v>
      </c>
      <c r="J10" s="3">
        <v>-21.45</v>
      </c>
      <c r="K10" s="3">
        <v>3.73</v>
      </c>
      <c r="L10" s="3">
        <v>21.45</v>
      </c>
      <c r="M10" s="3">
        <v>78.39</v>
      </c>
      <c r="N10" s="3">
        <f t="shared" si="0"/>
        <v>1040531.2</v>
      </c>
      <c r="O10" s="3">
        <f t="shared" si="1"/>
        <v>1076843.92</v>
      </c>
      <c r="P10" s="5">
        <v>7200</v>
      </c>
      <c r="Q10" s="6">
        <f t="shared" si="2"/>
        <v>71183.65278599388</v>
      </c>
      <c r="R10" s="7">
        <f t="shared" si="3"/>
        <v>976547.54721400607</v>
      </c>
      <c r="S10" s="3">
        <v>12272.4</v>
      </c>
      <c r="T10" s="3">
        <f>3000+3000</f>
        <v>6000</v>
      </c>
      <c r="U10" s="3">
        <v>25488.49</v>
      </c>
      <c r="V10" s="3">
        <v>336119.98</v>
      </c>
      <c r="W10" s="3">
        <f>20+885.43</f>
        <v>905.43</v>
      </c>
      <c r="X10" s="3">
        <v>5668.68</v>
      </c>
      <c r="Y10" s="3">
        <v>3130.34</v>
      </c>
      <c r="Z10" s="3">
        <v>272668.79999999999</v>
      </c>
      <c r="AA10" s="3"/>
      <c r="AB10" s="3">
        <v>295.12</v>
      </c>
      <c r="AC10" s="3">
        <v>29835.49</v>
      </c>
      <c r="AD10" s="3">
        <v>33554.199999999997</v>
      </c>
      <c r="AE10" s="3">
        <v>209914.56</v>
      </c>
      <c r="AF10" s="3">
        <v>11855.18</v>
      </c>
      <c r="AG10" s="3">
        <v>5900.82</v>
      </c>
      <c r="AH10" s="3">
        <v>925.69</v>
      </c>
      <c r="AI10" s="3">
        <v>5600</v>
      </c>
      <c r="AJ10" s="3">
        <v>4175.087214006091</v>
      </c>
      <c r="AK10" s="3">
        <v>12237.28</v>
      </c>
    </row>
    <row r="11" spans="1:50" ht="18.75" x14ac:dyDescent="0.3">
      <c r="A11" s="33" t="s">
        <v>25</v>
      </c>
      <c r="B11" s="3">
        <v>644795.36</v>
      </c>
      <c r="C11" s="3">
        <v>575356.81999999995</v>
      </c>
      <c r="D11" s="3"/>
      <c r="E11" s="3"/>
      <c r="F11" s="3">
        <v>23566.98</v>
      </c>
      <c r="G11" s="3">
        <v>20881.16</v>
      </c>
      <c r="H11" s="3"/>
      <c r="I11" s="3"/>
      <c r="J11" s="3"/>
      <c r="K11" s="3"/>
      <c r="L11" s="3"/>
      <c r="M11" s="3"/>
      <c r="N11" s="3">
        <f t="shared" si="0"/>
        <v>668362.34</v>
      </c>
      <c r="O11" s="3">
        <f t="shared" si="1"/>
        <v>596237.98</v>
      </c>
      <c r="P11" s="5">
        <v>5200</v>
      </c>
      <c r="Q11" s="6">
        <f t="shared" si="2"/>
        <v>79700.994518344756</v>
      </c>
      <c r="R11" s="7">
        <f t="shared" si="3"/>
        <v>593861.34548165521</v>
      </c>
      <c r="S11" s="3">
        <v>7012.8</v>
      </c>
      <c r="T11" s="3">
        <f>2000+3000</f>
        <v>5000</v>
      </c>
      <c r="U11" s="3">
        <v>16950.150000000001</v>
      </c>
      <c r="V11" s="3">
        <v>209272.37</v>
      </c>
      <c r="W11" s="3">
        <v>518.37</v>
      </c>
      <c r="X11" s="3">
        <v>7821.09</v>
      </c>
      <c r="Y11" s="3">
        <v>3130.34</v>
      </c>
      <c r="Z11" s="3">
        <v>158878.81</v>
      </c>
      <c r="AA11" s="3"/>
      <c r="AB11" s="3">
        <v>172.78</v>
      </c>
      <c r="AC11" s="3">
        <v>18036.97</v>
      </c>
      <c r="AD11" s="3">
        <v>22977.47</v>
      </c>
      <c r="AE11" s="3">
        <v>130183.65</v>
      </c>
      <c r="AF11" s="3"/>
      <c r="AG11" s="3">
        <v>3454.52</v>
      </c>
      <c r="AH11" s="3">
        <v>541.95000000000005</v>
      </c>
      <c r="AI11" s="3"/>
      <c r="AJ11" s="3">
        <v>2681.775481655131</v>
      </c>
      <c r="AK11" s="3">
        <v>7228.3</v>
      </c>
    </row>
    <row r="12" spans="1:50" ht="18.75" x14ac:dyDescent="0.3">
      <c r="A12" s="33" t="s">
        <v>26</v>
      </c>
      <c r="B12" s="3">
        <v>949489.57</v>
      </c>
      <c r="C12" s="3">
        <v>802372.64</v>
      </c>
      <c r="D12" s="3"/>
      <c r="E12" s="3"/>
      <c r="F12" s="3">
        <v>31780.68</v>
      </c>
      <c r="G12" s="3">
        <v>26690.240000000002</v>
      </c>
      <c r="H12" s="3"/>
      <c r="I12" s="3"/>
      <c r="J12" s="3"/>
      <c r="K12" s="3"/>
      <c r="L12" s="3"/>
      <c r="M12" s="3"/>
      <c r="N12" s="3">
        <f t="shared" si="0"/>
        <v>981270.25</v>
      </c>
      <c r="O12" s="3">
        <f t="shared" si="1"/>
        <v>829062.88</v>
      </c>
      <c r="P12" s="5">
        <v>5200</v>
      </c>
      <c r="Q12" s="6">
        <f t="shared" si="2"/>
        <v>199885.53482908383</v>
      </c>
      <c r="R12" s="7">
        <f t="shared" si="3"/>
        <v>786584.71517091617</v>
      </c>
      <c r="S12" s="3">
        <v>10519.2</v>
      </c>
      <c r="T12" s="3">
        <v>3000</v>
      </c>
      <c r="U12" s="3">
        <v>22831.19</v>
      </c>
      <c r="V12" s="3">
        <v>269133.15000000002</v>
      </c>
      <c r="W12" s="3">
        <v>698.22</v>
      </c>
      <c r="X12" s="3">
        <v>19953.79</v>
      </c>
      <c r="Y12" s="3">
        <v>3130.34</v>
      </c>
      <c r="Z12" s="3">
        <v>215016.53</v>
      </c>
      <c r="AA12" s="3">
        <f>10000+10000</f>
        <v>20000</v>
      </c>
      <c r="AB12" s="3">
        <v>232.72</v>
      </c>
      <c r="AC12" s="3">
        <v>12039.71</v>
      </c>
      <c r="AD12" s="3">
        <v>36055.919999999998</v>
      </c>
      <c r="AE12" s="3">
        <v>151291.35999999999</v>
      </c>
      <c r="AF12" s="3">
        <v>2720.87</v>
      </c>
      <c r="AG12" s="3">
        <v>4653.13</v>
      </c>
      <c r="AH12" s="3">
        <v>729.93</v>
      </c>
      <c r="AI12" s="3"/>
      <c r="AJ12" s="3">
        <v>3937.3051709161246</v>
      </c>
      <c r="AK12" s="3">
        <v>10641.35</v>
      </c>
    </row>
    <row r="13" spans="1:50" ht="18.75" x14ac:dyDescent="0.3">
      <c r="A13" s="34">
        <v>22</v>
      </c>
      <c r="B13" s="3">
        <v>786964</v>
      </c>
      <c r="C13" s="3">
        <v>627190.79</v>
      </c>
      <c r="D13" s="3">
        <v>4004.83</v>
      </c>
      <c r="E13" s="3">
        <v>3637.39</v>
      </c>
      <c r="F13" s="3">
        <v>25693.08</v>
      </c>
      <c r="G13" s="3">
        <v>20688.95</v>
      </c>
      <c r="H13" s="3"/>
      <c r="I13" s="3"/>
      <c r="J13" s="3">
        <v>9303.73</v>
      </c>
      <c r="K13" s="3">
        <v>7984.84</v>
      </c>
      <c r="L13" s="3">
        <v>2157.75</v>
      </c>
      <c r="M13" s="3">
        <v>2439.56</v>
      </c>
      <c r="N13" s="3">
        <f t="shared" si="0"/>
        <v>828123.3899999999</v>
      </c>
      <c r="O13" s="3">
        <f t="shared" si="1"/>
        <v>661941.53</v>
      </c>
      <c r="P13" s="5">
        <v>5200</v>
      </c>
      <c r="Q13" s="6">
        <f t="shared" si="2"/>
        <v>120718.54009558912</v>
      </c>
      <c r="R13" s="7">
        <f t="shared" si="3"/>
        <v>712604.84990441077</v>
      </c>
      <c r="S13" s="3">
        <v>14025.6</v>
      </c>
      <c r="T13" s="3">
        <v>2000</v>
      </c>
      <c r="U13" s="3">
        <v>18165.02</v>
      </c>
      <c r="V13" s="3">
        <v>217828.57</v>
      </c>
      <c r="W13" s="3">
        <v>691.35</v>
      </c>
      <c r="X13" s="3">
        <v>16569.150000000001</v>
      </c>
      <c r="Y13" s="3">
        <v>3130.34</v>
      </c>
      <c r="Z13" s="3">
        <v>179155.68</v>
      </c>
      <c r="AA13" s="3">
        <v>48000</v>
      </c>
      <c r="AB13" s="3">
        <v>230.43</v>
      </c>
      <c r="AC13" s="3">
        <v>5727.14</v>
      </c>
      <c r="AD13" s="3">
        <v>26024.58</v>
      </c>
      <c r="AE13" s="3">
        <v>163238.21</v>
      </c>
      <c r="AF13" s="3">
        <v>2624.35</v>
      </c>
      <c r="AG13" s="3">
        <v>3858.06</v>
      </c>
      <c r="AH13" s="3">
        <v>623.13</v>
      </c>
      <c r="AI13" s="3"/>
      <c r="AJ13" s="8">
        <v>3322.8099044107271</v>
      </c>
      <c r="AK13" s="3">
        <v>7390.43</v>
      </c>
    </row>
    <row r="14" spans="1:50" ht="18.75" x14ac:dyDescent="0.3">
      <c r="A14" s="27">
        <v>34</v>
      </c>
      <c r="B14" s="3">
        <v>472843.44</v>
      </c>
      <c r="C14" s="3">
        <v>408569.23</v>
      </c>
      <c r="D14" s="3"/>
      <c r="E14" s="3"/>
      <c r="F14" s="3">
        <v>16333.08</v>
      </c>
      <c r="G14" s="3">
        <v>14676.03</v>
      </c>
      <c r="H14" s="3"/>
      <c r="I14" s="3"/>
      <c r="J14" s="3"/>
      <c r="K14" s="3"/>
      <c r="L14" s="3"/>
      <c r="M14" s="3"/>
      <c r="N14" s="3">
        <f t="shared" si="0"/>
        <v>489176.52</v>
      </c>
      <c r="O14" s="3">
        <f t="shared" si="1"/>
        <v>423245.26</v>
      </c>
      <c r="P14" s="5">
        <v>5200</v>
      </c>
      <c r="Q14" s="6">
        <f t="shared" si="2"/>
        <v>84653.6400051089</v>
      </c>
      <c r="R14" s="7">
        <f t="shared" si="3"/>
        <v>409722.87999489112</v>
      </c>
      <c r="S14" s="3">
        <v>4675.2</v>
      </c>
      <c r="T14" s="3">
        <v>3000</v>
      </c>
      <c r="U14" s="3">
        <v>11319.15</v>
      </c>
      <c r="V14" s="3">
        <v>132950.38</v>
      </c>
      <c r="W14" s="3">
        <v>346.16</v>
      </c>
      <c r="X14" s="3">
        <v>5787.85</v>
      </c>
      <c r="Y14" s="3">
        <v>3130.34</v>
      </c>
      <c r="Z14" s="3">
        <v>106599.88</v>
      </c>
      <c r="AA14" s="3"/>
      <c r="AB14" s="3">
        <v>115.38</v>
      </c>
      <c r="AC14" s="3">
        <v>12278.99</v>
      </c>
      <c r="AD14" s="3">
        <v>15472.53</v>
      </c>
      <c r="AE14" s="3">
        <v>100362.02</v>
      </c>
      <c r="AF14" s="3">
        <v>4058.6</v>
      </c>
      <c r="AG14" s="3">
        <v>2306.9</v>
      </c>
      <c r="AH14" s="3">
        <v>361.87</v>
      </c>
      <c r="AI14" s="3"/>
      <c r="AJ14" s="3">
        <v>1962.799994891066</v>
      </c>
      <c r="AK14" s="3">
        <v>4994.83</v>
      </c>
    </row>
    <row r="15" spans="1:50" ht="18.75" x14ac:dyDescent="0.3">
      <c r="A15" s="27">
        <v>47</v>
      </c>
      <c r="B15" s="3">
        <v>49187.6</v>
      </c>
      <c r="C15" s="3">
        <v>13323.01</v>
      </c>
      <c r="D15" s="3"/>
      <c r="E15" s="3"/>
      <c r="F15" s="3">
        <v>0</v>
      </c>
      <c r="G15" s="3">
        <v>0</v>
      </c>
      <c r="H15" s="3"/>
      <c r="I15" s="3"/>
      <c r="J15" s="3"/>
      <c r="K15" s="3"/>
      <c r="L15" s="3"/>
      <c r="M15" s="3"/>
      <c r="N15" s="3">
        <f t="shared" si="0"/>
        <v>49187.6</v>
      </c>
      <c r="O15" s="3">
        <f t="shared" si="1"/>
        <v>13323.01</v>
      </c>
      <c r="P15" s="3"/>
      <c r="Q15" s="6">
        <f t="shared" si="2"/>
        <v>2930.6868456345692</v>
      </c>
      <c r="R15" s="7">
        <f t="shared" si="3"/>
        <v>46256.913154365429</v>
      </c>
      <c r="S15" s="3"/>
      <c r="T15" s="3"/>
      <c r="U15" s="3">
        <v>767.86</v>
      </c>
      <c r="V15" s="3">
        <v>7694.72</v>
      </c>
      <c r="W15" s="3"/>
      <c r="X15" s="3">
        <v>0</v>
      </c>
      <c r="Y15" s="3">
        <v>9000</v>
      </c>
      <c r="Z15" s="3">
        <v>11731.11</v>
      </c>
      <c r="AA15" s="3"/>
      <c r="AB15" s="3"/>
      <c r="AC15" s="3"/>
      <c r="AD15" s="3">
        <v>1352.38</v>
      </c>
      <c r="AE15" s="3">
        <v>14965.18</v>
      </c>
      <c r="AF15" s="3"/>
      <c r="AG15" s="3">
        <v>386.43</v>
      </c>
      <c r="AH15" s="3">
        <v>28.64</v>
      </c>
      <c r="AI15" s="3"/>
      <c r="AJ15" s="3">
        <v>197.36315436542989</v>
      </c>
      <c r="AK15" s="3">
        <v>133.22999999999999</v>
      </c>
    </row>
    <row r="16" spans="1:50" ht="18.75" x14ac:dyDescent="0.3">
      <c r="A16" s="11"/>
      <c r="B16" s="3">
        <f>SUM(B7:B15)</f>
        <v>4908075.25</v>
      </c>
      <c r="C16" s="3">
        <f>SUM(C7:C15)</f>
        <v>4424844.6399999997</v>
      </c>
      <c r="D16" s="3">
        <f t="shared" ref="D16:E16" si="4">SUM(D7:D15)</f>
        <v>4004.83</v>
      </c>
      <c r="E16" s="3">
        <f t="shared" si="4"/>
        <v>3669.96</v>
      </c>
      <c r="F16" s="3">
        <f>SUM(F7:F15)</f>
        <v>143816.79</v>
      </c>
      <c r="G16" s="3">
        <f>SUM(G7:G15)</f>
        <v>127890.59</v>
      </c>
      <c r="H16" s="3">
        <f>SUM(H7:H15)</f>
        <v>-1259.3</v>
      </c>
      <c r="I16" s="3">
        <f>SUM(I7:I15)</f>
        <v>34142.29</v>
      </c>
      <c r="J16" s="3">
        <f>SUM(J10:J15)</f>
        <v>9282.2799999999988</v>
      </c>
      <c r="K16" s="3">
        <f>SUM(K10:K15)</f>
        <v>7988.57</v>
      </c>
      <c r="L16" s="3">
        <f>SUM(L10:L15)</f>
        <v>2179.1999999999998</v>
      </c>
      <c r="M16" s="3">
        <f>SUM(M10:M15)</f>
        <v>2517.9499999999998</v>
      </c>
      <c r="N16" s="3">
        <f t="shared" si="0"/>
        <v>5066099.0500000007</v>
      </c>
      <c r="O16" s="3">
        <f t="shared" si="1"/>
        <v>4601054</v>
      </c>
      <c r="P16" s="3">
        <f>SUM(P7:P15)</f>
        <v>35200</v>
      </c>
      <c r="Q16" s="6">
        <f t="shared" si="2"/>
        <v>491889.59025507793</v>
      </c>
      <c r="R16" s="7">
        <f t="shared" ref="R16:Z16" si="5">SUM(R7:R15)</f>
        <v>4609409.4597449228</v>
      </c>
      <c r="S16" s="3">
        <f t="shared" si="5"/>
        <v>63699.6</v>
      </c>
      <c r="T16" s="3">
        <f t="shared" si="5"/>
        <v>24000</v>
      </c>
      <c r="U16" s="3">
        <f t="shared" si="5"/>
        <v>123658.66</v>
      </c>
      <c r="V16" s="3">
        <f t="shared" si="5"/>
        <v>1508352.9400000002</v>
      </c>
      <c r="W16" s="3">
        <f t="shared" si="5"/>
        <v>4300.08</v>
      </c>
      <c r="X16" s="3">
        <f t="shared" si="5"/>
        <v>61887.520000000004</v>
      </c>
      <c r="Y16" s="3">
        <f t="shared" si="5"/>
        <v>34042.720000000001</v>
      </c>
      <c r="Z16" s="3">
        <f t="shared" si="5"/>
        <v>1207654.5200000003</v>
      </c>
      <c r="AA16" s="3"/>
      <c r="AB16" s="3">
        <f t="shared" ref="AB16:AH16" si="6">SUM(AB7:AB15)</f>
        <v>1333.23</v>
      </c>
      <c r="AC16" s="3">
        <f t="shared" si="6"/>
        <v>109224.69</v>
      </c>
      <c r="AD16" s="3">
        <f t="shared" si="6"/>
        <v>174238.27</v>
      </c>
      <c r="AE16" s="3">
        <f t="shared" si="6"/>
        <v>1086577.5799999998</v>
      </c>
      <c r="AF16" s="3">
        <f t="shared" si="6"/>
        <v>30057.039999999997</v>
      </c>
      <c r="AG16" s="3">
        <f t="shared" si="6"/>
        <v>26294.310000000005</v>
      </c>
      <c r="AH16" s="3">
        <f t="shared" si="6"/>
        <v>4110.7699999999995</v>
      </c>
      <c r="AI16" s="3"/>
      <c r="AJ16" s="3">
        <v>20327.507112274383</v>
      </c>
      <c r="AK16" s="3">
        <v>56044.970000000008</v>
      </c>
    </row>
    <row r="17" spans="1:29" ht="18.75" x14ac:dyDescent="0.3">
      <c r="A17" s="10"/>
    </row>
    <row r="18" spans="1:29" ht="18.75" x14ac:dyDescent="0.3">
      <c r="A18" s="10"/>
    </row>
    <row r="19" spans="1:29" ht="18.75" x14ac:dyDescent="0.3">
      <c r="A19" s="10"/>
    </row>
    <row r="20" spans="1:29" ht="18.75" x14ac:dyDescent="0.25">
      <c r="A20" s="39" t="s">
        <v>20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</row>
    <row r="21" spans="1:29" ht="18.75" x14ac:dyDescent="0.25">
      <c r="A21" s="40"/>
      <c r="B21" s="35" t="s">
        <v>28</v>
      </c>
      <c r="C21" s="36"/>
      <c r="D21" s="29" t="s">
        <v>13</v>
      </c>
      <c r="E21" s="12" t="s">
        <v>11</v>
      </c>
      <c r="F21" s="12"/>
      <c r="G21" s="12"/>
      <c r="H21" s="12"/>
      <c r="I21" s="12"/>
      <c r="J21" s="12"/>
      <c r="K21" s="12"/>
      <c r="L21" s="12"/>
      <c r="M21" s="12"/>
      <c r="N21" s="20"/>
      <c r="O21" s="20"/>
      <c r="P21" s="20"/>
      <c r="Q21" s="20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</row>
    <row r="22" spans="1:29" ht="93.75" x14ac:dyDescent="0.25">
      <c r="A22" s="32"/>
      <c r="B22" s="20" t="s">
        <v>8</v>
      </c>
      <c r="C22" s="20" t="s">
        <v>9</v>
      </c>
      <c r="D22" s="29"/>
      <c r="E22" s="21" t="s">
        <v>59</v>
      </c>
      <c r="F22" s="21" t="s">
        <v>60</v>
      </c>
      <c r="G22" s="21" t="s">
        <v>61</v>
      </c>
      <c r="H22" s="30" t="s">
        <v>62</v>
      </c>
      <c r="I22" s="30" t="s">
        <v>63</v>
      </c>
      <c r="J22" s="30" t="s">
        <v>64</v>
      </c>
      <c r="K22" s="30" t="s">
        <v>65</v>
      </c>
      <c r="L22" s="30" t="s">
        <v>66</v>
      </c>
      <c r="M22" s="30" t="s">
        <v>70</v>
      </c>
      <c r="N22" s="30" t="s">
        <v>67</v>
      </c>
      <c r="O22" s="30" t="s">
        <v>68</v>
      </c>
      <c r="P22" s="30" t="s">
        <v>69</v>
      </c>
      <c r="Q22" s="22" t="s">
        <v>33</v>
      </c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</row>
    <row r="23" spans="1:29" ht="18.75" x14ac:dyDescent="0.3">
      <c r="A23" s="33" t="s">
        <v>21</v>
      </c>
      <c r="B23" s="3">
        <v>160205.5</v>
      </c>
      <c r="C23" s="3">
        <v>155138.04</v>
      </c>
      <c r="D23" s="3">
        <f>E23+F23+G23+H23+I23+J23+L23+M23+N23+O23</f>
        <v>24834.44</v>
      </c>
      <c r="E23" s="3">
        <v>4834.4399999999996</v>
      </c>
      <c r="F23" s="3"/>
      <c r="G23" s="3"/>
      <c r="H23" s="3">
        <v>20000</v>
      </c>
      <c r="I23" s="3"/>
      <c r="J23" s="3"/>
      <c r="K23" s="3"/>
      <c r="L23" s="3"/>
      <c r="M23" s="3"/>
      <c r="N23" s="3"/>
      <c r="O23" s="3"/>
      <c r="P23" s="3"/>
      <c r="Q23" s="4">
        <f>B23-D23</f>
        <v>135371.06</v>
      </c>
    </row>
    <row r="24" spans="1:29" ht="18.75" x14ac:dyDescent="0.3">
      <c r="A24" s="33" t="s">
        <v>22</v>
      </c>
      <c r="B24" s="3">
        <v>36576</v>
      </c>
      <c r="C24" s="3">
        <v>34507.910000000003</v>
      </c>
      <c r="D24" s="3">
        <f t="shared" ref="D24:D31" si="7">E24+F24+G24+H24+I24+J24+L24+M24+N24+O24</f>
        <v>16147</v>
      </c>
      <c r="E24" s="3"/>
      <c r="F24" s="3"/>
      <c r="G24" s="3"/>
      <c r="H24" s="3"/>
      <c r="I24" s="3"/>
      <c r="J24" s="3">
        <v>16147</v>
      </c>
      <c r="K24" s="3"/>
      <c r="L24" s="3"/>
      <c r="M24" s="3"/>
      <c r="N24" s="3"/>
      <c r="O24" s="3"/>
      <c r="P24" s="3"/>
      <c r="Q24" s="4">
        <f t="shared" ref="Q24:Q32" si="8">B24-D24</f>
        <v>20429</v>
      </c>
    </row>
    <row r="25" spans="1:29" ht="18.75" x14ac:dyDescent="0.3">
      <c r="A25" s="33" t="s">
        <v>23</v>
      </c>
      <c r="B25" s="3">
        <v>161922</v>
      </c>
      <c r="C25" s="3">
        <v>151910.62</v>
      </c>
      <c r="D25" s="3">
        <f t="shared" si="7"/>
        <v>17820.349999999999</v>
      </c>
      <c r="E25" s="3">
        <v>7920.35</v>
      </c>
      <c r="F25" s="3">
        <v>9900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4">
        <f t="shared" si="8"/>
        <v>144101.65</v>
      </c>
    </row>
    <row r="26" spans="1:29" ht="18.75" x14ac:dyDescent="0.3">
      <c r="A26" s="33" t="s">
        <v>24</v>
      </c>
      <c r="B26" s="3">
        <v>148398.21</v>
      </c>
      <c r="C26" s="3">
        <v>146884.71</v>
      </c>
      <c r="D26" s="3">
        <f>E26+F26+G26+H26+I26+J26+L26+M26+N26+O26+K26</f>
        <v>90033.51</v>
      </c>
      <c r="E26" s="3"/>
      <c r="F26" s="3"/>
      <c r="G26" s="3"/>
      <c r="H26" s="3"/>
      <c r="I26" s="3"/>
      <c r="J26" s="3"/>
      <c r="K26" s="3">
        <v>86030</v>
      </c>
      <c r="L26" s="3"/>
      <c r="M26" s="3">
        <v>4003.51</v>
      </c>
      <c r="N26" s="3"/>
      <c r="O26" s="3"/>
      <c r="P26" s="3"/>
      <c r="Q26" s="4">
        <f t="shared" si="8"/>
        <v>58364.7</v>
      </c>
    </row>
    <row r="27" spans="1:29" ht="18.75" x14ac:dyDescent="0.3">
      <c r="A27" s="33" t="s">
        <v>25</v>
      </c>
      <c r="B27" s="3">
        <v>142588.07999999999</v>
      </c>
      <c r="C27" s="3">
        <v>126592.61</v>
      </c>
      <c r="D27" s="3">
        <f t="shared" si="7"/>
        <v>185914.46000000002</v>
      </c>
      <c r="E27" s="3">
        <v>344.76</v>
      </c>
      <c r="F27" s="3">
        <v>45000</v>
      </c>
      <c r="G27" s="3"/>
      <c r="H27" s="3"/>
      <c r="I27" s="3">
        <f>76142+55701</f>
        <v>131843</v>
      </c>
      <c r="J27" s="3"/>
      <c r="K27" s="3"/>
      <c r="L27" s="3">
        <v>6360</v>
      </c>
      <c r="M27" s="3">
        <v>2366.6999999999998</v>
      </c>
      <c r="N27" s="3"/>
      <c r="O27" s="3"/>
      <c r="P27" s="3"/>
      <c r="Q27" s="4">
        <f t="shared" si="8"/>
        <v>-43326.380000000034</v>
      </c>
    </row>
    <row r="28" spans="1:29" ht="18.75" x14ac:dyDescent="0.3">
      <c r="A28" s="33" t="s">
        <v>26</v>
      </c>
      <c r="B28" s="3">
        <v>294248.09000000003</v>
      </c>
      <c r="C28" s="3">
        <v>235073.05</v>
      </c>
      <c r="D28" s="3">
        <f t="shared" si="7"/>
        <v>510049.63</v>
      </c>
      <c r="E28" s="3">
        <v>1034.28</v>
      </c>
      <c r="F28" s="3">
        <v>25500</v>
      </c>
      <c r="G28" s="3">
        <v>200955.16</v>
      </c>
      <c r="H28" s="3"/>
      <c r="I28" s="3">
        <v>280378</v>
      </c>
      <c r="J28" s="3"/>
      <c r="K28" s="3"/>
      <c r="L28" s="3"/>
      <c r="M28" s="3">
        <v>2182.19</v>
      </c>
      <c r="N28" s="3"/>
      <c r="O28" s="3"/>
      <c r="P28" s="3"/>
      <c r="Q28" s="4">
        <f t="shared" si="8"/>
        <v>-215801.53999999998</v>
      </c>
    </row>
    <row r="29" spans="1:29" ht="18.75" x14ac:dyDescent="0.3">
      <c r="A29" s="34">
        <v>22</v>
      </c>
      <c r="B29" s="3">
        <v>96560</v>
      </c>
      <c r="C29" s="3">
        <v>77102.13</v>
      </c>
      <c r="D29" s="3">
        <f>E29+F29+G29+H29+I29+J29+L29+M29+N29+O29+P29</f>
        <v>373381.53</v>
      </c>
      <c r="E29" s="3">
        <v>1034.28</v>
      </c>
      <c r="F29" s="3">
        <v>75000</v>
      </c>
      <c r="G29" s="3">
        <v>193145.75</v>
      </c>
      <c r="H29" s="3"/>
      <c r="I29" s="3">
        <v>100247</v>
      </c>
      <c r="J29" s="3"/>
      <c r="K29" s="3"/>
      <c r="L29" s="3"/>
      <c r="M29" s="3">
        <f>1718.36+1200.24</f>
        <v>2918.6</v>
      </c>
      <c r="N29" s="3"/>
      <c r="O29" s="3"/>
      <c r="P29" s="3">
        <v>1035.9000000000001</v>
      </c>
      <c r="Q29" s="4">
        <f t="shared" si="8"/>
        <v>-276821.53000000003</v>
      </c>
    </row>
    <row r="30" spans="1:29" ht="18.75" x14ac:dyDescent="0.3">
      <c r="A30" s="27">
        <v>34</v>
      </c>
      <c r="B30" s="3">
        <v>58017.599999999999</v>
      </c>
      <c r="C30" s="3">
        <v>76237.8</v>
      </c>
      <c r="D30" s="3">
        <f>E30+F30+G30+H30+I30+J30+L30+M30+N30+O30</f>
        <v>477722.45</v>
      </c>
      <c r="E30" s="3"/>
      <c r="F30" s="3">
        <v>33000</v>
      </c>
      <c r="G30" s="3">
        <v>264068.45</v>
      </c>
      <c r="H30" s="3"/>
      <c r="I30" s="3">
        <v>139566</v>
      </c>
      <c r="J30" s="3"/>
      <c r="K30" s="3"/>
      <c r="L30" s="3"/>
      <c r="M30" s="3"/>
      <c r="N30" s="3">
        <v>39588</v>
      </c>
      <c r="O30" s="3">
        <v>1500</v>
      </c>
      <c r="P30" s="3"/>
      <c r="Q30" s="4">
        <f t="shared" si="8"/>
        <v>-419704.85000000003</v>
      </c>
    </row>
    <row r="31" spans="1:29" ht="18.75" x14ac:dyDescent="0.3">
      <c r="A31" s="27">
        <v>47</v>
      </c>
      <c r="B31" s="3"/>
      <c r="C31" s="3"/>
      <c r="D31" s="3">
        <f t="shared" si="7"/>
        <v>0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4">
        <f t="shared" si="8"/>
        <v>0</v>
      </c>
    </row>
    <row r="32" spans="1:29" ht="18.75" x14ac:dyDescent="0.3">
      <c r="A32" s="11"/>
      <c r="B32" s="3">
        <f t="shared" ref="B32:P32" si="9">SUM(B23:B31)</f>
        <v>1098515.48</v>
      </c>
      <c r="C32" s="3">
        <f t="shared" si="9"/>
        <v>1003446.87</v>
      </c>
      <c r="D32" s="3">
        <f t="shared" si="9"/>
        <v>1695903.3699999999</v>
      </c>
      <c r="E32" s="3">
        <f t="shared" si="9"/>
        <v>15168.110000000002</v>
      </c>
      <c r="F32" s="3">
        <f t="shared" si="9"/>
        <v>188400</v>
      </c>
      <c r="G32" s="3">
        <f t="shared" si="9"/>
        <v>658169.3600000001</v>
      </c>
      <c r="H32" s="3">
        <f t="shared" si="9"/>
        <v>20000</v>
      </c>
      <c r="I32" s="3">
        <f t="shared" si="9"/>
        <v>652034</v>
      </c>
      <c r="J32" s="3">
        <f t="shared" si="9"/>
        <v>16147</v>
      </c>
      <c r="K32" s="3">
        <f t="shared" si="9"/>
        <v>86030</v>
      </c>
      <c r="L32" s="3">
        <f t="shared" si="9"/>
        <v>6360</v>
      </c>
      <c r="M32" s="3">
        <f t="shared" si="9"/>
        <v>11471</v>
      </c>
      <c r="N32" s="3">
        <f t="shared" si="9"/>
        <v>39588</v>
      </c>
      <c r="O32" s="3">
        <f t="shared" si="9"/>
        <v>1500</v>
      </c>
      <c r="P32" s="3">
        <f t="shared" si="9"/>
        <v>1035.9000000000001</v>
      </c>
      <c r="Q32" s="4">
        <f t="shared" si="8"/>
        <v>-597387.8899999999</v>
      </c>
    </row>
    <row r="33" spans="1:4" ht="18.75" x14ac:dyDescent="0.3">
      <c r="A33" s="10"/>
      <c r="D33" s="31"/>
    </row>
  </sheetData>
  <mergeCells count="13">
    <mergeCell ref="L5:M5"/>
    <mergeCell ref="N5:O5"/>
    <mergeCell ref="R5:AK5"/>
    <mergeCell ref="A20:A21"/>
    <mergeCell ref="B21:C21"/>
    <mergeCell ref="D21:D22"/>
    <mergeCell ref="E21:M21"/>
    <mergeCell ref="A4:A5"/>
    <mergeCell ref="B5:C5"/>
    <mergeCell ref="D5:E5"/>
    <mergeCell ref="F5:G5"/>
    <mergeCell ref="H5:I5"/>
    <mergeCell ref="J5:K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разбегаево</vt:lpstr>
      <vt:lpstr>горбунки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2021-03-31T13:18:57Z</dcterms:modified>
</cp:coreProperties>
</file>