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_new\Подготовка 2021г\"/>
    </mc:Choice>
  </mc:AlternateContent>
  <bookViews>
    <workbookView xWindow="0" yWindow="0" windowWidth="19200" windowHeight="11265" firstSheet="7" activeTab="11"/>
  </bookViews>
  <sheets>
    <sheet name="КРИВКО" sheetId="1" r:id="rId1"/>
    <sheet name="СОСНОВО" sheetId="5" r:id="rId2"/>
    <sheet name="СНЕГИРЕВКА" sheetId="6" r:id="rId3"/>
    <sheet name="ПЕТРОВСКОЕ" sheetId="7" r:id="rId4"/>
    <sheet name="ПЛОДОВОЕ" sheetId="8" r:id="rId5"/>
    <sheet name="СОЛОВЬЕВКА" sheetId="2" r:id="rId6"/>
    <sheet name="ТРАКТОРНОЕ" sheetId="9" r:id="rId7"/>
    <sheet name="РОМАШКИ" sheetId="10" r:id="rId8"/>
    <sheet name="ПОНТОННОЕ" sheetId="11" r:id="rId9"/>
    <sheet name="СУХОДОЛЬЕ" sheetId="12" r:id="rId10"/>
    <sheet name="ГОРБУНКИ" sheetId="3" r:id="rId11"/>
    <sheet name="РАЗБЕГАЕВО" sheetId="4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42" i="6" l="1"/>
  <c r="AB42" i="6"/>
  <c r="V42" i="6"/>
  <c r="U42" i="6"/>
  <c r="T42" i="6"/>
  <c r="S42" i="6"/>
  <c r="R42" i="6"/>
  <c r="Q42" i="6"/>
  <c r="M42" i="6"/>
  <c r="L42" i="6"/>
  <c r="K42" i="6"/>
  <c r="J42" i="6"/>
  <c r="I42" i="6"/>
  <c r="H42" i="6"/>
  <c r="G42" i="6"/>
  <c r="F42" i="6"/>
  <c r="AF41" i="6"/>
  <c r="P41" i="6"/>
  <c r="Y41" i="6" s="1"/>
  <c r="O41" i="6"/>
  <c r="X41" i="6" s="1"/>
  <c r="N41" i="6"/>
  <c r="W41" i="6" s="1"/>
  <c r="AG40" i="6"/>
  <c r="AG42" i="6" s="1"/>
  <c r="AE40" i="6"/>
  <c r="AD40" i="6"/>
  <c r="AC40" i="6"/>
  <c r="E40" i="6"/>
  <c r="D40" i="6"/>
  <c r="P40" i="6" s="1"/>
  <c r="Y40" i="6" s="1"/>
  <c r="C40" i="6"/>
  <c r="O40" i="6" s="1"/>
  <c r="X40" i="6" s="1"/>
  <c r="B40" i="6"/>
  <c r="AF39" i="6"/>
  <c r="P39" i="6"/>
  <c r="Y39" i="6" s="1"/>
  <c r="O39" i="6"/>
  <c r="X39" i="6" s="1"/>
  <c r="N39" i="6"/>
  <c r="W39" i="6" s="1"/>
  <c r="AF38" i="6"/>
  <c r="E38" i="6"/>
  <c r="D38" i="6"/>
  <c r="P38" i="6" s="1"/>
  <c r="Y38" i="6" s="1"/>
  <c r="C38" i="6"/>
  <c r="O38" i="6" s="1"/>
  <c r="X38" i="6" s="1"/>
  <c r="B38" i="6"/>
  <c r="AF37" i="6"/>
  <c r="P37" i="6"/>
  <c r="Y37" i="6" s="1"/>
  <c r="O37" i="6"/>
  <c r="X37" i="6" s="1"/>
  <c r="Z37" i="6" s="1"/>
  <c r="N37" i="6"/>
  <c r="W37" i="6" s="1"/>
  <c r="AE36" i="6"/>
  <c r="AD36" i="6"/>
  <c r="AC36" i="6"/>
  <c r="E36" i="6"/>
  <c r="D36" i="6"/>
  <c r="P36" i="6" s="1"/>
  <c r="Y36" i="6" s="1"/>
  <c r="C36" i="6"/>
  <c r="O36" i="6" s="1"/>
  <c r="X36" i="6" s="1"/>
  <c r="B36" i="6"/>
  <c r="N36" i="6" s="1"/>
  <c r="W36" i="6" s="1"/>
  <c r="AF35" i="6"/>
  <c r="P35" i="6"/>
  <c r="Y35" i="6" s="1"/>
  <c r="O35" i="6"/>
  <c r="X35" i="6" s="1"/>
  <c r="N35" i="6"/>
  <c r="W35" i="6" s="1"/>
  <c r="AF34" i="6"/>
  <c r="E34" i="6"/>
  <c r="D34" i="6"/>
  <c r="P34" i="6" s="1"/>
  <c r="Y34" i="6" s="1"/>
  <c r="C34" i="6"/>
  <c r="O34" i="6" s="1"/>
  <c r="X34" i="6" s="1"/>
  <c r="B34" i="6"/>
  <c r="AF33" i="6"/>
  <c r="P33" i="6"/>
  <c r="Y33" i="6" s="1"/>
  <c r="O33" i="6"/>
  <c r="X33" i="6" s="1"/>
  <c r="N33" i="6"/>
  <c r="W33" i="6" s="1"/>
  <c r="AF32" i="6"/>
  <c r="P32" i="6"/>
  <c r="Y32" i="6" s="1"/>
  <c r="O32" i="6"/>
  <c r="X32" i="6" s="1"/>
  <c r="N32" i="6"/>
  <c r="W32" i="6" s="1"/>
  <c r="AE31" i="6"/>
  <c r="AF31" i="6" s="1"/>
  <c r="E31" i="6"/>
  <c r="D31" i="6"/>
  <c r="P31" i="6" s="1"/>
  <c r="Y31" i="6" s="1"/>
  <c r="C31" i="6"/>
  <c r="O31" i="6" s="1"/>
  <c r="X31" i="6" s="1"/>
  <c r="B31" i="6"/>
  <c r="AE30" i="6"/>
  <c r="AF30" i="6" s="1"/>
  <c r="E30" i="6"/>
  <c r="D30" i="6"/>
  <c r="P30" i="6" s="1"/>
  <c r="Y30" i="6" s="1"/>
  <c r="C30" i="6"/>
  <c r="O30" i="6" s="1"/>
  <c r="X30" i="6" s="1"/>
  <c r="B30" i="6"/>
  <c r="AD29" i="6"/>
  <c r="AC29" i="6"/>
  <c r="P29" i="6"/>
  <c r="Y29" i="6" s="1"/>
  <c r="O29" i="6"/>
  <c r="X29" i="6" s="1"/>
  <c r="N29" i="6"/>
  <c r="W29" i="6" s="1"/>
  <c r="AF28" i="6"/>
  <c r="P28" i="6"/>
  <c r="Y28" i="6" s="1"/>
  <c r="O28" i="6"/>
  <c r="X28" i="6" s="1"/>
  <c r="N28" i="6"/>
  <c r="W28" i="6" s="1"/>
  <c r="P27" i="6"/>
  <c r="Y27" i="6" s="1"/>
  <c r="O27" i="6"/>
  <c r="X27" i="6" s="1"/>
  <c r="N27" i="6"/>
  <c r="W27" i="6" s="1"/>
  <c r="P26" i="6"/>
  <c r="Y26" i="6" s="1"/>
  <c r="O26" i="6"/>
  <c r="X26" i="6" s="1"/>
  <c r="AA26" i="6" s="1"/>
  <c r="N26" i="6"/>
  <c r="W26" i="6" s="1"/>
  <c r="P25" i="6"/>
  <c r="Y25" i="6" s="1"/>
  <c r="O25" i="6"/>
  <c r="X25" i="6" s="1"/>
  <c r="Z25" i="6" s="1"/>
  <c r="AI25" i="6" s="1"/>
  <c r="N25" i="6"/>
  <c r="W25" i="6" s="1"/>
  <c r="P24" i="6"/>
  <c r="Y24" i="6" s="1"/>
  <c r="O24" i="6"/>
  <c r="X24" i="6" s="1"/>
  <c r="N24" i="6"/>
  <c r="W24" i="6" s="1"/>
  <c r="AE23" i="6"/>
  <c r="AF23" i="6" s="1"/>
  <c r="E23" i="6"/>
  <c r="D23" i="6"/>
  <c r="P23" i="6" s="1"/>
  <c r="Y23" i="6" s="1"/>
  <c r="C23" i="6"/>
  <c r="O23" i="6" s="1"/>
  <c r="X23" i="6" s="1"/>
  <c r="B23" i="6"/>
  <c r="AF22" i="6"/>
  <c r="E22" i="6"/>
  <c r="D22" i="6"/>
  <c r="P22" i="6" s="1"/>
  <c r="Y22" i="6" s="1"/>
  <c r="C22" i="6"/>
  <c r="O22" i="6" s="1"/>
  <c r="X22" i="6" s="1"/>
  <c r="B22" i="6"/>
  <c r="AE21" i="6"/>
  <c r="AD21" i="6"/>
  <c r="AC21" i="6"/>
  <c r="E21" i="6"/>
  <c r="D21" i="6"/>
  <c r="P21" i="6" s="1"/>
  <c r="Y21" i="6" s="1"/>
  <c r="C21" i="6"/>
  <c r="O21" i="6" s="1"/>
  <c r="X21" i="6" s="1"/>
  <c r="B21" i="6"/>
  <c r="AC20" i="6"/>
  <c r="AF20" i="6" s="1"/>
  <c r="E20" i="6"/>
  <c r="D20" i="6"/>
  <c r="P20" i="6" s="1"/>
  <c r="Y20" i="6" s="1"/>
  <c r="C20" i="6"/>
  <c r="O20" i="6" s="1"/>
  <c r="X20" i="6" s="1"/>
  <c r="B20" i="6"/>
  <c r="AF19" i="6"/>
  <c r="E19" i="6"/>
  <c r="D19" i="6"/>
  <c r="P19" i="6" s="1"/>
  <c r="Y19" i="6" s="1"/>
  <c r="C19" i="6"/>
  <c r="O19" i="6" s="1"/>
  <c r="X19" i="6" s="1"/>
  <c r="B19" i="6"/>
  <c r="AF18" i="6"/>
  <c r="E18" i="6"/>
  <c r="D18" i="6"/>
  <c r="P18" i="6" s="1"/>
  <c r="Y18" i="6" s="1"/>
  <c r="C18" i="6"/>
  <c r="O18" i="6" s="1"/>
  <c r="X18" i="6" s="1"/>
  <c r="B18" i="6"/>
  <c r="AF17" i="6"/>
  <c r="E17" i="6"/>
  <c r="D17" i="6"/>
  <c r="P17" i="6" s="1"/>
  <c r="Y17" i="6" s="1"/>
  <c r="C17" i="6"/>
  <c r="B17" i="6"/>
  <c r="AF16" i="6"/>
  <c r="P16" i="6"/>
  <c r="Y16" i="6" s="1"/>
  <c r="O16" i="6"/>
  <c r="X16" i="6" s="1"/>
  <c r="N16" i="6"/>
  <c r="W16" i="6" s="1"/>
  <c r="AF15" i="6"/>
  <c r="W15" i="6"/>
  <c r="P15" i="6"/>
  <c r="Y15" i="6" s="1"/>
  <c r="O15" i="6"/>
  <c r="X15" i="6" s="1"/>
  <c r="N15" i="6"/>
  <c r="AF14" i="6"/>
  <c r="P14" i="6"/>
  <c r="Y14" i="6" s="1"/>
  <c r="O14" i="6"/>
  <c r="X14" i="6" s="1"/>
  <c r="N14" i="6"/>
  <c r="W14" i="6" s="1"/>
  <c r="AF13" i="6"/>
  <c r="P13" i="6"/>
  <c r="Y13" i="6" s="1"/>
  <c r="O13" i="6"/>
  <c r="X13" i="6" s="1"/>
  <c r="N13" i="6"/>
  <c r="W13" i="6" s="1"/>
  <c r="AD12" i="6"/>
  <c r="AC12" i="6"/>
  <c r="X12" i="6"/>
  <c r="W12" i="6"/>
  <c r="P12" i="6"/>
  <c r="Y12" i="6" s="1"/>
  <c r="O12" i="6"/>
  <c r="N12" i="6"/>
  <c r="AF11" i="6"/>
  <c r="Y11" i="6"/>
  <c r="P11" i="6"/>
  <c r="O11" i="6"/>
  <c r="X11" i="6" s="1"/>
  <c r="N11" i="6"/>
  <c r="W11" i="6" s="1"/>
  <c r="AF10" i="6"/>
  <c r="P10" i="6"/>
  <c r="Y10" i="6" s="1"/>
  <c r="O10" i="6"/>
  <c r="X10" i="6" s="1"/>
  <c r="AA10" i="6" s="1"/>
  <c r="N10" i="6"/>
  <c r="W10" i="6" s="1"/>
  <c r="AF9" i="6"/>
  <c r="P9" i="6"/>
  <c r="Y9" i="6" s="1"/>
  <c r="O9" i="6"/>
  <c r="X9" i="6" s="1"/>
  <c r="N9" i="6"/>
  <c r="W9" i="6" s="1"/>
  <c r="AF8" i="6"/>
  <c r="X8" i="6"/>
  <c r="P8" i="6"/>
  <c r="Y8" i="6" s="1"/>
  <c r="O8" i="6"/>
  <c r="N8" i="6"/>
  <c r="W8" i="6" s="1"/>
  <c r="AF7" i="6"/>
  <c r="Y7" i="6"/>
  <c r="P7" i="6"/>
  <c r="O7" i="6"/>
  <c r="N7" i="6"/>
  <c r="Z9" i="6" l="1"/>
  <c r="AI9" i="6" s="1"/>
  <c r="N22" i="6"/>
  <c r="W22" i="6" s="1"/>
  <c r="Z12" i="6"/>
  <c r="N21" i="6"/>
  <c r="W21" i="6" s="1"/>
  <c r="N34" i="6"/>
  <c r="W34" i="6" s="1"/>
  <c r="AI37" i="6"/>
  <c r="N40" i="6"/>
  <c r="W40" i="6" s="1"/>
  <c r="Z14" i="6"/>
  <c r="AI14" i="6" s="1"/>
  <c r="E42" i="6"/>
  <c r="Z18" i="6"/>
  <c r="AI18" i="6" s="1"/>
  <c r="Z22" i="6"/>
  <c r="AI22" i="6" s="1"/>
  <c r="Z24" i="6"/>
  <c r="AA24" i="6"/>
  <c r="N20" i="6"/>
  <c r="W20" i="6" s="1"/>
  <c r="Z21" i="6"/>
  <c r="AF21" i="6"/>
  <c r="Z26" i="6"/>
  <c r="AI26" i="6" s="1"/>
  <c r="Z28" i="6"/>
  <c r="AA28" i="6"/>
  <c r="AF29" i="6"/>
  <c r="Z32" i="6"/>
  <c r="AI32" i="6" s="1"/>
  <c r="AF36" i="6"/>
  <c r="N18" i="6"/>
  <c r="W18" i="6" s="1"/>
  <c r="Z20" i="6"/>
  <c r="AI20" i="6" s="1"/>
  <c r="N30" i="6"/>
  <c r="W30" i="6" s="1"/>
  <c r="Z33" i="6"/>
  <c r="AI33" i="6" s="1"/>
  <c r="Z35" i="6"/>
  <c r="AI35" i="6" s="1"/>
  <c r="Z38" i="6"/>
  <c r="AI38" i="6" s="1"/>
  <c r="Z8" i="6"/>
  <c r="AI8" i="6" s="1"/>
  <c r="Z11" i="6"/>
  <c r="AI11" i="6" s="1"/>
  <c r="Z13" i="6"/>
  <c r="AI13" i="6" s="1"/>
  <c r="Z16" i="6"/>
  <c r="AI16" i="6" s="1"/>
  <c r="Z27" i="6"/>
  <c r="AI27" i="6" s="1"/>
  <c r="Z29" i="6"/>
  <c r="N31" i="6"/>
  <c r="W31" i="6" s="1"/>
  <c r="Z34" i="6"/>
  <c r="AI34" i="6" s="1"/>
  <c r="Z39" i="6"/>
  <c r="AI39" i="6" s="1"/>
  <c r="Z40" i="6"/>
  <c r="W7" i="6"/>
  <c r="Z10" i="6"/>
  <c r="AI10" i="6" s="1"/>
  <c r="Z19" i="6"/>
  <c r="AI19" i="6" s="1"/>
  <c r="Z31" i="6"/>
  <c r="AI31" i="6" s="1"/>
  <c r="Z36" i="6"/>
  <c r="P42" i="6"/>
  <c r="AD42" i="6"/>
  <c r="Z23" i="6"/>
  <c r="AI23" i="6" s="1"/>
  <c r="Z30" i="6"/>
  <c r="AI30" i="6" s="1"/>
  <c r="D42" i="6"/>
  <c r="Y42" i="6"/>
  <c r="Z15" i="6"/>
  <c r="AI15" i="6" s="1"/>
  <c r="B42" i="6"/>
  <c r="N17" i="6"/>
  <c r="W17" i="6" s="1"/>
  <c r="AE42" i="6"/>
  <c r="N38" i="6"/>
  <c r="W38" i="6" s="1"/>
  <c r="AA41" i="6"/>
  <c r="Z41" i="6"/>
  <c r="C42" i="6"/>
  <c r="O17" i="6"/>
  <c r="X17" i="6" s="1"/>
  <c r="Z17" i="6" s="1"/>
  <c r="AI17" i="6" s="1"/>
  <c r="X7" i="6"/>
  <c r="AF12" i="6"/>
  <c r="AC42" i="6"/>
  <c r="AF42" i="6" s="1"/>
  <c r="N19" i="6"/>
  <c r="W19" i="6" s="1"/>
  <c r="N23" i="6"/>
  <c r="W23" i="6" s="1"/>
  <c r="AF40" i="6"/>
  <c r="AL34" i="12"/>
  <c r="AK34" i="12"/>
  <c r="AH34" i="12"/>
  <c r="AF34" i="12"/>
  <c r="AE34" i="12"/>
  <c r="Z34" i="12"/>
  <c r="Y34" i="12"/>
  <c r="X34" i="12"/>
  <c r="T34" i="12"/>
  <c r="S34" i="12"/>
  <c r="R34" i="12"/>
  <c r="N34" i="12"/>
  <c r="M34" i="12"/>
  <c r="L34" i="12"/>
  <c r="K34" i="12"/>
  <c r="J34" i="12"/>
  <c r="I34" i="12"/>
  <c r="H34" i="12"/>
  <c r="G34" i="12"/>
  <c r="F34" i="12"/>
  <c r="Q33" i="12"/>
  <c r="W33" i="12" s="1"/>
  <c r="AC33" i="12" s="1"/>
  <c r="P33" i="12"/>
  <c r="V33" i="12" s="1"/>
  <c r="AB33" i="12" s="1"/>
  <c r="O33" i="12"/>
  <c r="U33" i="12" s="1"/>
  <c r="AA33" i="12" s="1"/>
  <c r="Q32" i="12"/>
  <c r="W32" i="12" s="1"/>
  <c r="AC32" i="12" s="1"/>
  <c r="P32" i="12"/>
  <c r="V32" i="12" s="1"/>
  <c r="AB32" i="12" s="1"/>
  <c r="O32" i="12"/>
  <c r="U32" i="12" s="1"/>
  <c r="AA32" i="12" s="1"/>
  <c r="AI31" i="12"/>
  <c r="Q31" i="12"/>
  <c r="W31" i="12" s="1"/>
  <c r="AC31" i="12" s="1"/>
  <c r="P31" i="12"/>
  <c r="V31" i="12" s="1"/>
  <c r="AB31" i="12" s="1"/>
  <c r="O31" i="12"/>
  <c r="U31" i="12" s="1"/>
  <c r="AA31" i="12" s="1"/>
  <c r="AG30" i="12"/>
  <c r="AI30" i="12" s="1"/>
  <c r="E30" i="12"/>
  <c r="Q30" i="12" s="1"/>
  <c r="W30" i="12" s="1"/>
  <c r="AC30" i="12" s="1"/>
  <c r="D30" i="12"/>
  <c r="P30" i="12" s="1"/>
  <c r="V30" i="12" s="1"/>
  <c r="AB30" i="12" s="1"/>
  <c r="C30" i="12"/>
  <c r="O30" i="12" s="1"/>
  <c r="U30" i="12" s="1"/>
  <c r="AA30" i="12" s="1"/>
  <c r="AG29" i="12"/>
  <c r="AI29" i="12" s="1"/>
  <c r="E29" i="12"/>
  <c r="Q29" i="12" s="1"/>
  <c r="W29" i="12" s="1"/>
  <c r="AC29" i="12" s="1"/>
  <c r="D29" i="12"/>
  <c r="P29" i="12" s="1"/>
  <c r="V29" i="12" s="1"/>
  <c r="AB29" i="12" s="1"/>
  <c r="C29" i="12"/>
  <c r="O29" i="12" s="1"/>
  <c r="U29" i="12" s="1"/>
  <c r="AA29" i="12" s="1"/>
  <c r="AG28" i="12"/>
  <c r="AI28" i="12" s="1"/>
  <c r="E28" i="12"/>
  <c r="Q28" i="12" s="1"/>
  <c r="W28" i="12" s="1"/>
  <c r="AC28" i="12" s="1"/>
  <c r="D28" i="12"/>
  <c r="P28" i="12" s="1"/>
  <c r="V28" i="12" s="1"/>
  <c r="AB28" i="12" s="1"/>
  <c r="C28" i="12"/>
  <c r="O28" i="12" s="1"/>
  <c r="U28" i="12" s="1"/>
  <c r="AA28" i="12" s="1"/>
  <c r="AG27" i="12"/>
  <c r="AI27" i="12" s="1"/>
  <c r="Q27" i="12"/>
  <c r="W27" i="12" s="1"/>
  <c r="AC27" i="12" s="1"/>
  <c r="P27" i="12"/>
  <c r="V27" i="12" s="1"/>
  <c r="AB27" i="12" s="1"/>
  <c r="E27" i="12"/>
  <c r="D27" i="12"/>
  <c r="C27" i="12"/>
  <c r="O27" i="12" s="1"/>
  <c r="U27" i="12" s="1"/>
  <c r="AA27" i="12" s="1"/>
  <c r="AJ26" i="12"/>
  <c r="AG26" i="12"/>
  <c r="AI26" i="12" s="1"/>
  <c r="Q26" i="12"/>
  <c r="W26" i="12" s="1"/>
  <c r="AC26" i="12" s="1"/>
  <c r="P26" i="12"/>
  <c r="V26" i="12" s="1"/>
  <c r="AB26" i="12" s="1"/>
  <c r="O26" i="12"/>
  <c r="U26" i="12" s="1"/>
  <c r="AA26" i="12" s="1"/>
  <c r="AG25" i="12"/>
  <c r="AI25" i="12" s="1"/>
  <c r="O25" i="12"/>
  <c r="U25" i="12" s="1"/>
  <c r="AA25" i="12" s="1"/>
  <c r="E25" i="12"/>
  <c r="Q25" i="12" s="1"/>
  <c r="W25" i="12" s="1"/>
  <c r="AC25" i="12" s="1"/>
  <c r="D25" i="12"/>
  <c r="P25" i="12" s="1"/>
  <c r="V25" i="12" s="1"/>
  <c r="AB25" i="12" s="1"/>
  <c r="C25" i="12"/>
  <c r="AI24" i="12"/>
  <c r="Q24" i="12"/>
  <c r="W24" i="12" s="1"/>
  <c r="AC24" i="12" s="1"/>
  <c r="P24" i="12"/>
  <c r="V24" i="12" s="1"/>
  <c r="AB24" i="12" s="1"/>
  <c r="O24" i="12"/>
  <c r="U24" i="12" s="1"/>
  <c r="AA24" i="12" s="1"/>
  <c r="AG23" i="12"/>
  <c r="AI23" i="12" s="1"/>
  <c r="V23" i="12"/>
  <c r="AB23" i="12" s="1"/>
  <c r="Q23" i="12"/>
  <c r="W23" i="12" s="1"/>
  <c r="AC23" i="12" s="1"/>
  <c r="P23" i="12"/>
  <c r="O23" i="12"/>
  <c r="U23" i="12" s="1"/>
  <c r="AA23" i="12" s="1"/>
  <c r="AG22" i="12"/>
  <c r="AI22" i="12" s="1"/>
  <c r="Q22" i="12"/>
  <c r="W22" i="12" s="1"/>
  <c r="AC22" i="12" s="1"/>
  <c r="P22" i="12"/>
  <c r="V22" i="12" s="1"/>
  <c r="AB22" i="12" s="1"/>
  <c r="O22" i="12"/>
  <c r="U22" i="12" s="1"/>
  <c r="AA22" i="12" s="1"/>
  <c r="AI21" i="12"/>
  <c r="Q21" i="12"/>
  <c r="W21" i="12" s="1"/>
  <c r="AC21" i="12" s="1"/>
  <c r="P21" i="12"/>
  <c r="V21" i="12" s="1"/>
  <c r="AB21" i="12" s="1"/>
  <c r="O21" i="12"/>
  <c r="U21" i="12" s="1"/>
  <c r="AA21" i="12" s="1"/>
  <c r="AI20" i="12"/>
  <c r="Q20" i="12"/>
  <c r="W20" i="12" s="1"/>
  <c r="AC20" i="12" s="1"/>
  <c r="P20" i="12"/>
  <c r="V20" i="12" s="1"/>
  <c r="AB20" i="12" s="1"/>
  <c r="O20" i="12"/>
  <c r="U20" i="12" s="1"/>
  <c r="AA20" i="12" s="1"/>
  <c r="AG19" i="12"/>
  <c r="AI19" i="12" s="1"/>
  <c r="U19" i="12"/>
  <c r="AA19" i="12" s="1"/>
  <c r="Q19" i="12"/>
  <c r="W19" i="12" s="1"/>
  <c r="AC19" i="12" s="1"/>
  <c r="AD19" i="12" s="1"/>
  <c r="P19" i="12"/>
  <c r="V19" i="12" s="1"/>
  <c r="AB19" i="12" s="1"/>
  <c r="O19" i="12"/>
  <c r="AG18" i="12"/>
  <c r="AI18" i="12" s="1"/>
  <c r="E18" i="12"/>
  <c r="Q18" i="12" s="1"/>
  <c r="W18" i="12" s="1"/>
  <c r="AC18" i="12" s="1"/>
  <c r="D18" i="12"/>
  <c r="P18" i="12" s="1"/>
  <c r="V18" i="12" s="1"/>
  <c r="AB18" i="12" s="1"/>
  <c r="C18" i="12"/>
  <c r="O18" i="12" s="1"/>
  <c r="U18" i="12" s="1"/>
  <c r="AA18" i="12" s="1"/>
  <c r="AI17" i="12"/>
  <c r="Q17" i="12"/>
  <c r="W17" i="12" s="1"/>
  <c r="AC17" i="12" s="1"/>
  <c r="P17" i="12"/>
  <c r="V17" i="12" s="1"/>
  <c r="AB17" i="12" s="1"/>
  <c r="O17" i="12"/>
  <c r="U17" i="12" s="1"/>
  <c r="AA17" i="12" s="1"/>
  <c r="AI16" i="12"/>
  <c r="W16" i="12"/>
  <c r="AC16" i="12" s="1"/>
  <c r="Q16" i="12"/>
  <c r="P16" i="12"/>
  <c r="V16" i="12" s="1"/>
  <c r="AB16" i="12" s="1"/>
  <c r="O16" i="12"/>
  <c r="U16" i="12" s="1"/>
  <c r="AA16" i="12" s="1"/>
  <c r="AI15" i="12"/>
  <c r="Q15" i="12"/>
  <c r="W15" i="12" s="1"/>
  <c r="AC15" i="12" s="1"/>
  <c r="P15" i="12"/>
  <c r="V15" i="12" s="1"/>
  <c r="AB15" i="12" s="1"/>
  <c r="O15" i="12"/>
  <c r="U15" i="12" s="1"/>
  <c r="AA15" i="12" s="1"/>
  <c r="AG14" i="12"/>
  <c r="AI14" i="12" s="1"/>
  <c r="E14" i="12"/>
  <c r="Q14" i="12" s="1"/>
  <c r="W14" i="12" s="1"/>
  <c r="AC14" i="12" s="1"/>
  <c r="D14" i="12"/>
  <c r="P14" i="12" s="1"/>
  <c r="V14" i="12" s="1"/>
  <c r="AB14" i="12" s="1"/>
  <c r="C14" i="12"/>
  <c r="O14" i="12" s="1"/>
  <c r="U14" i="12" s="1"/>
  <c r="AA14" i="12" s="1"/>
  <c r="AG13" i="12"/>
  <c r="AI13" i="12" s="1"/>
  <c r="E13" i="12"/>
  <c r="Q13" i="12" s="1"/>
  <c r="W13" i="12" s="1"/>
  <c r="AC13" i="12" s="1"/>
  <c r="D13" i="12"/>
  <c r="C13" i="12"/>
  <c r="O13" i="12" s="1"/>
  <c r="U13" i="12" s="1"/>
  <c r="AA13" i="12" s="1"/>
  <c r="AJ12" i="12"/>
  <c r="AG12" i="12"/>
  <c r="AI12" i="12" s="1"/>
  <c r="W12" i="12"/>
  <c r="AC12" i="12" s="1"/>
  <c r="Q12" i="12"/>
  <c r="P12" i="12"/>
  <c r="V12" i="12" s="1"/>
  <c r="AB12" i="12" s="1"/>
  <c r="O12" i="12"/>
  <c r="U12" i="12" s="1"/>
  <c r="AA12" i="12" s="1"/>
  <c r="AI11" i="12"/>
  <c r="W11" i="12"/>
  <c r="AC11" i="12" s="1"/>
  <c r="Q11" i="12"/>
  <c r="P11" i="12"/>
  <c r="V11" i="12" s="1"/>
  <c r="AB11" i="12" s="1"/>
  <c r="O11" i="12"/>
  <c r="U11" i="12" s="1"/>
  <c r="AA11" i="12" s="1"/>
  <c r="AI10" i="12"/>
  <c r="Q10" i="12"/>
  <c r="W10" i="12" s="1"/>
  <c r="AC10" i="12" s="1"/>
  <c r="P10" i="12"/>
  <c r="V10" i="12" s="1"/>
  <c r="AB10" i="12" s="1"/>
  <c r="O10" i="12"/>
  <c r="U10" i="12" s="1"/>
  <c r="AA10" i="12" s="1"/>
  <c r="AG9" i="12"/>
  <c r="AI9" i="12" s="1"/>
  <c r="Q9" i="12"/>
  <c r="W9" i="12" s="1"/>
  <c r="AC9" i="12" s="1"/>
  <c r="P9" i="12"/>
  <c r="V9" i="12" s="1"/>
  <c r="AB9" i="12" s="1"/>
  <c r="O9" i="12"/>
  <c r="U9" i="12" s="1"/>
  <c r="AA9" i="12" s="1"/>
  <c r="AG8" i="12"/>
  <c r="AI8" i="12" s="1"/>
  <c r="U8" i="12"/>
  <c r="AA8" i="12" s="1"/>
  <c r="Q8" i="12"/>
  <c r="W8" i="12" s="1"/>
  <c r="P8" i="12"/>
  <c r="V8" i="12" s="1"/>
  <c r="AB8" i="12" s="1"/>
  <c r="O8" i="12"/>
  <c r="AI27" i="11"/>
  <c r="AH27" i="11"/>
  <c r="AF27" i="11"/>
  <c r="AE27" i="11"/>
  <c r="AD27" i="11"/>
  <c r="Y27" i="11"/>
  <c r="X27" i="11"/>
  <c r="W27" i="11"/>
  <c r="S27" i="11"/>
  <c r="R27" i="11"/>
  <c r="Q27" i="11"/>
  <c r="J27" i="11"/>
  <c r="I27" i="11"/>
  <c r="H27" i="11"/>
  <c r="G27" i="11"/>
  <c r="F27" i="11"/>
  <c r="E27" i="11"/>
  <c r="D27" i="11"/>
  <c r="C27" i="11"/>
  <c r="B27" i="11"/>
  <c r="AG26" i="11"/>
  <c r="P26" i="11"/>
  <c r="V26" i="11" s="1"/>
  <c r="AB26" i="11" s="1"/>
  <c r="O26" i="11"/>
  <c r="U26" i="11" s="1"/>
  <c r="AA26" i="11" s="1"/>
  <c r="N26" i="11"/>
  <c r="T26" i="11" s="1"/>
  <c r="Z26" i="11" s="1"/>
  <c r="AG25" i="11"/>
  <c r="P25" i="11"/>
  <c r="V25" i="11" s="1"/>
  <c r="AB25" i="11" s="1"/>
  <c r="O25" i="11"/>
  <c r="U25" i="11" s="1"/>
  <c r="AA25" i="11" s="1"/>
  <c r="N25" i="11"/>
  <c r="T25" i="11" s="1"/>
  <c r="Z25" i="11" s="1"/>
  <c r="AG24" i="11"/>
  <c r="P24" i="11"/>
  <c r="V24" i="11" s="1"/>
  <c r="AB24" i="11" s="1"/>
  <c r="O24" i="11"/>
  <c r="U24" i="11" s="1"/>
  <c r="AA24" i="11" s="1"/>
  <c r="N24" i="11"/>
  <c r="T24" i="11" s="1"/>
  <c r="Z24" i="11" s="1"/>
  <c r="AG23" i="11"/>
  <c r="P23" i="11"/>
  <c r="V23" i="11" s="1"/>
  <c r="AB23" i="11" s="1"/>
  <c r="O23" i="11"/>
  <c r="U23" i="11" s="1"/>
  <c r="AA23" i="11" s="1"/>
  <c r="N23" i="11"/>
  <c r="T23" i="11" s="1"/>
  <c r="Z23" i="11" s="1"/>
  <c r="AG22" i="11"/>
  <c r="P22" i="11"/>
  <c r="V22" i="11" s="1"/>
  <c r="AB22" i="11" s="1"/>
  <c r="O22" i="11"/>
  <c r="U22" i="11" s="1"/>
  <c r="AA22" i="11" s="1"/>
  <c r="N22" i="11"/>
  <c r="T22" i="11" s="1"/>
  <c r="Z22" i="11" s="1"/>
  <c r="AG21" i="11"/>
  <c r="P21" i="11"/>
  <c r="V21" i="11" s="1"/>
  <c r="AB21" i="11" s="1"/>
  <c r="O21" i="11"/>
  <c r="U21" i="11" s="1"/>
  <c r="AA21" i="11" s="1"/>
  <c r="N21" i="11"/>
  <c r="T21" i="11" s="1"/>
  <c r="Z21" i="11" s="1"/>
  <c r="AG20" i="11"/>
  <c r="P20" i="11"/>
  <c r="V20" i="11" s="1"/>
  <c r="AB20" i="11" s="1"/>
  <c r="O20" i="11"/>
  <c r="U20" i="11" s="1"/>
  <c r="AA20" i="11" s="1"/>
  <c r="N20" i="11"/>
  <c r="T20" i="11" s="1"/>
  <c r="Z20" i="11" s="1"/>
  <c r="AG19" i="11"/>
  <c r="P19" i="11"/>
  <c r="V19" i="11" s="1"/>
  <c r="AB19" i="11" s="1"/>
  <c r="O19" i="11"/>
  <c r="U19" i="11" s="1"/>
  <c r="AA19" i="11" s="1"/>
  <c r="N19" i="11"/>
  <c r="T19" i="11" s="1"/>
  <c r="Z19" i="11" s="1"/>
  <c r="AG18" i="11"/>
  <c r="P18" i="11"/>
  <c r="V18" i="11" s="1"/>
  <c r="AB18" i="11" s="1"/>
  <c r="O18" i="11"/>
  <c r="U18" i="11" s="1"/>
  <c r="AA18" i="11" s="1"/>
  <c r="N18" i="11"/>
  <c r="T18" i="11" s="1"/>
  <c r="Z18" i="11" s="1"/>
  <c r="AG17" i="11"/>
  <c r="P17" i="11"/>
  <c r="V17" i="11" s="1"/>
  <c r="AB17" i="11" s="1"/>
  <c r="O17" i="11"/>
  <c r="U17" i="11" s="1"/>
  <c r="AA17" i="11" s="1"/>
  <c r="N17" i="11"/>
  <c r="T17" i="11" s="1"/>
  <c r="Z17" i="11" s="1"/>
  <c r="AG16" i="11"/>
  <c r="P16" i="11"/>
  <c r="V16" i="11" s="1"/>
  <c r="AB16" i="11" s="1"/>
  <c r="O16" i="11"/>
  <c r="U16" i="11" s="1"/>
  <c r="AA16" i="11" s="1"/>
  <c r="N16" i="11"/>
  <c r="T16" i="11" s="1"/>
  <c r="Z16" i="11" s="1"/>
  <c r="AG15" i="11"/>
  <c r="P15" i="11"/>
  <c r="V15" i="11" s="1"/>
  <c r="AB15" i="11" s="1"/>
  <c r="O15" i="11"/>
  <c r="U15" i="11" s="1"/>
  <c r="AA15" i="11" s="1"/>
  <c r="N15" i="11"/>
  <c r="T15" i="11" s="1"/>
  <c r="Z15" i="11" s="1"/>
  <c r="AG14" i="11"/>
  <c r="P14" i="11"/>
  <c r="V14" i="11" s="1"/>
  <c r="AB14" i="11" s="1"/>
  <c r="O14" i="11"/>
  <c r="U14" i="11" s="1"/>
  <c r="AA14" i="11" s="1"/>
  <c r="N14" i="11"/>
  <c r="T14" i="11" s="1"/>
  <c r="Z14" i="11" s="1"/>
  <c r="AG13" i="11"/>
  <c r="P13" i="11"/>
  <c r="V13" i="11" s="1"/>
  <c r="AB13" i="11" s="1"/>
  <c r="O13" i="11"/>
  <c r="U13" i="11" s="1"/>
  <c r="AA13" i="11" s="1"/>
  <c r="N13" i="11"/>
  <c r="T13" i="11" s="1"/>
  <c r="Z13" i="11" s="1"/>
  <c r="AG12" i="11"/>
  <c r="P12" i="11"/>
  <c r="V12" i="11" s="1"/>
  <c r="AB12" i="11" s="1"/>
  <c r="O12" i="11"/>
  <c r="U12" i="11" s="1"/>
  <c r="AA12" i="11" s="1"/>
  <c r="N12" i="11"/>
  <c r="T12" i="11" s="1"/>
  <c r="Z12" i="11" s="1"/>
  <c r="AG11" i="11"/>
  <c r="P11" i="11"/>
  <c r="V11" i="11" s="1"/>
  <c r="AB11" i="11" s="1"/>
  <c r="O11" i="11"/>
  <c r="U11" i="11" s="1"/>
  <c r="AA11" i="11" s="1"/>
  <c r="N11" i="11"/>
  <c r="T11" i="11" s="1"/>
  <c r="Z11" i="11" s="1"/>
  <c r="AG10" i="11"/>
  <c r="V10" i="11"/>
  <c r="AB10" i="11" s="1"/>
  <c r="P10" i="11"/>
  <c r="O10" i="11"/>
  <c r="U10" i="11" s="1"/>
  <c r="AA10" i="11" s="1"/>
  <c r="N10" i="11"/>
  <c r="T10" i="11" s="1"/>
  <c r="Z10" i="11" s="1"/>
  <c r="AG9" i="11"/>
  <c r="P9" i="11"/>
  <c r="V9" i="11" s="1"/>
  <c r="AB9" i="11" s="1"/>
  <c r="O9" i="11"/>
  <c r="U9" i="11" s="1"/>
  <c r="AA9" i="11" s="1"/>
  <c r="N9" i="11"/>
  <c r="T9" i="11" s="1"/>
  <c r="Z9" i="11" s="1"/>
  <c r="AG8" i="11"/>
  <c r="P8" i="11"/>
  <c r="V8" i="11" s="1"/>
  <c r="AB8" i="11" s="1"/>
  <c r="O8" i="11"/>
  <c r="U8" i="11" s="1"/>
  <c r="AA8" i="11" s="1"/>
  <c r="N8" i="11"/>
  <c r="T8" i="11" s="1"/>
  <c r="Z8" i="11" s="1"/>
  <c r="AJ22" i="10"/>
  <c r="AH22" i="10"/>
  <c r="AF22" i="10"/>
  <c r="AG22" i="10" s="1"/>
  <c r="AE22" i="10"/>
  <c r="AD22" i="10"/>
  <c r="Y22" i="10"/>
  <c r="X22" i="10"/>
  <c r="W22" i="10"/>
  <c r="M22" i="10"/>
  <c r="L22" i="10"/>
  <c r="K22" i="10"/>
  <c r="J22" i="10"/>
  <c r="I22" i="10"/>
  <c r="H22" i="10"/>
  <c r="G22" i="10"/>
  <c r="F22" i="10"/>
  <c r="E22" i="10"/>
  <c r="D22" i="10"/>
  <c r="C22" i="10"/>
  <c r="B22" i="10"/>
  <c r="AG21" i="10"/>
  <c r="P21" i="10"/>
  <c r="V21" i="10" s="1"/>
  <c r="AB21" i="10" s="1"/>
  <c r="O21" i="10"/>
  <c r="U21" i="10" s="1"/>
  <c r="AA21" i="10" s="1"/>
  <c r="N21" i="10"/>
  <c r="T21" i="10" s="1"/>
  <c r="Z21" i="10" s="1"/>
  <c r="AG20" i="10"/>
  <c r="P20" i="10"/>
  <c r="V20" i="10" s="1"/>
  <c r="AB20" i="10" s="1"/>
  <c r="O20" i="10"/>
  <c r="U20" i="10" s="1"/>
  <c r="AA20" i="10" s="1"/>
  <c r="N20" i="10"/>
  <c r="T20" i="10" s="1"/>
  <c r="Z20" i="10" s="1"/>
  <c r="AG19" i="10"/>
  <c r="V19" i="10"/>
  <c r="AB19" i="10" s="1"/>
  <c r="P19" i="10"/>
  <c r="O19" i="10"/>
  <c r="U19" i="10" s="1"/>
  <c r="AA19" i="10" s="1"/>
  <c r="N19" i="10"/>
  <c r="T19" i="10" s="1"/>
  <c r="Z19" i="10" s="1"/>
  <c r="AG18" i="10"/>
  <c r="P18" i="10"/>
  <c r="V18" i="10" s="1"/>
  <c r="AB18" i="10" s="1"/>
  <c r="O18" i="10"/>
  <c r="U18" i="10" s="1"/>
  <c r="AA18" i="10" s="1"/>
  <c r="AC18" i="10" s="1"/>
  <c r="N18" i="10"/>
  <c r="T18" i="10" s="1"/>
  <c r="Z18" i="10" s="1"/>
  <c r="AG17" i="10"/>
  <c r="P17" i="10"/>
  <c r="V17" i="10" s="1"/>
  <c r="AB17" i="10" s="1"/>
  <c r="O17" i="10"/>
  <c r="U17" i="10" s="1"/>
  <c r="AA17" i="10" s="1"/>
  <c r="N17" i="10"/>
  <c r="T17" i="10" s="1"/>
  <c r="Z17" i="10" s="1"/>
  <c r="AG16" i="10"/>
  <c r="P16" i="10"/>
  <c r="V16" i="10" s="1"/>
  <c r="AB16" i="10" s="1"/>
  <c r="O16" i="10"/>
  <c r="U16" i="10" s="1"/>
  <c r="AA16" i="10" s="1"/>
  <c r="N16" i="10"/>
  <c r="T16" i="10" s="1"/>
  <c r="Z16" i="10" s="1"/>
  <c r="AG15" i="10"/>
  <c r="P15" i="10"/>
  <c r="V15" i="10" s="1"/>
  <c r="AB15" i="10" s="1"/>
  <c r="O15" i="10"/>
  <c r="U15" i="10" s="1"/>
  <c r="AA15" i="10" s="1"/>
  <c r="N15" i="10"/>
  <c r="T15" i="10" s="1"/>
  <c r="Z15" i="10" s="1"/>
  <c r="AG14" i="10"/>
  <c r="Z14" i="10"/>
  <c r="P14" i="10"/>
  <c r="V14" i="10" s="1"/>
  <c r="AB14" i="10" s="1"/>
  <c r="O14" i="10"/>
  <c r="U14" i="10" s="1"/>
  <c r="AA14" i="10" s="1"/>
  <c r="N14" i="10"/>
  <c r="T14" i="10" s="1"/>
  <c r="AG13" i="10"/>
  <c r="U13" i="10"/>
  <c r="AA13" i="10" s="1"/>
  <c r="AC13" i="10" s="1"/>
  <c r="AK13" i="10" s="1"/>
  <c r="P13" i="10"/>
  <c r="V13" i="10" s="1"/>
  <c r="AB13" i="10" s="1"/>
  <c r="O13" i="10"/>
  <c r="N13" i="10"/>
  <c r="T13" i="10" s="1"/>
  <c r="Z13" i="10" s="1"/>
  <c r="AG12" i="10"/>
  <c r="P12" i="10"/>
  <c r="V12" i="10" s="1"/>
  <c r="AB12" i="10" s="1"/>
  <c r="O12" i="10"/>
  <c r="U12" i="10" s="1"/>
  <c r="AA12" i="10" s="1"/>
  <c r="N12" i="10"/>
  <c r="T12" i="10" s="1"/>
  <c r="Z12" i="10" s="1"/>
  <c r="AG11" i="10"/>
  <c r="P11" i="10"/>
  <c r="V11" i="10" s="1"/>
  <c r="AB11" i="10" s="1"/>
  <c r="O11" i="10"/>
  <c r="U11" i="10" s="1"/>
  <c r="AA11" i="10" s="1"/>
  <c r="N11" i="10"/>
  <c r="T11" i="10" s="1"/>
  <c r="Z11" i="10" s="1"/>
  <c r="AG10" i="10"/>
  <c r="P10" i="10"/>
  <c r="V10" i="10" s="1"/>
  <c r="AB10" i="10" s="1"/>
  <c r="O10" i="10"/>
  <c r="U10" i="10" s="1"/>
  <c r="AA10" i="10" s="1"/>
  <c r="N10" i="10"/>
  <c r="T10" i="10" s="1"/>
  <c r="Z10" i="10" s="1"/>
  <c r="AG9" i="10"/>
  <c r="P9" i="10"/>
  <c r="V9" i="10" s="1"/>
  <c r="AB9" i="10" s="1"/>
  <c r="O9" i="10"/>
  <c r="U9" i="10" s="1"/>
  <c r="AA9" i="10" s="1"/>
  <c r="N9" i="10"/>
  <c r="T9" i="10" s="1"/>
  <c r="Z9" i="10" s="1"/>
  <c r="AG8" i="10"/>
  <c r="P8" i="10"/>
  <c r="V8" i="10" s="1"/>
  <c r="AB8" i="10" s="1"/>
  <c r="O8" i="10"/>
  <c r="U8" i="10" s="1"/>
  <c r="AA8" i="10" s="1"/>
  <c r="N8" i="10"/>
  <c r="T8" i="10" s="1"/>
  <c r="Z8" i="10" s="1"/>
  <c r="AG15" i="9"/>
  <c r="AF15" i="9"/>
  <c r="AE15" i="9"/>
  <c r="AD15" i="9"/>
  <c r="Y15" i="9"/>
  <c r="X15" i="9"/>
  <c r="W15" i="9"/>
  <c r="S15" i="9"/>
  <c r="M15" i="9"/>
  <c r="L15" i="9"/>
  <c r="K15" i="9"/>
  <c r="J15" i="9"/>
  <c r="I15" i="9"/>
  <c r="H15" i="9"/>
  <c r="G15" i="9"/>
  <c r="F15" i="9"/>
  <c r="E15" i="9"/>
  <c r="P14" i="9"/>
  <c r="V14" i="9" s="1"/>
  <c r="AB14" i="9" s="1"/>
  <c r="O14" i="9"/>
  <c r="U14" i="9" s="1"/>
  <c r="AA14" i="9" s="1"/>
  <c r="N14" i="9"/>
  <c r="T14" i="9" s="1"/>
  <c r="Z14" i="9" s="1"/>
  <c r="D13" i="9"/>
  <c r="P13" i="9" s="1"/>
  <c r="V13" i="9" s="1"/>
  <c r="AB13" i="9" s="1"/>
  <c r="C13" i="9"/>
  <c r="O13" i="9" s="1"/>
  <c r="U13" i="9" s="1"/>
  <c r="AA13" i="9" s="1"/>
  <c r="AC13" i="9" s="1"/>
  <c r="AH13" i="9" s="1"/>
  <c r="B13" i="9"/>
  <c r="N13" i="9" s="1"/>
  <c r="T13" i="9" s="1"/>
  <c r="Z13" i="9" s="1"/>
  <c r="D12" i="9"/>
  <c r="P12" i="9" s="1"/>
  <c r="V12" i="9" s="1"/>
  <c r="AB12" i="9" s="1"/>
  <c r="C12" i="9"/>
  <c r="O12" i="9" s="1"/>
  <c r="U12" i="9" s="1"/>
  <c r="AA12" i="9" s="1"/>
  <c r="B12" i="9"/>
  <c r="N12" i="9" s="1"/>
  <c r="T12" i="9" s="1"/>
  <c r="Z12" i="9" s="1"/>
  <c r="P11" i="9"/>
  <c r="V11" i="9" s="1"/>
  <c r="AB11" i="9" s="1"/>
  <c r="O11" i="9"/>
  <c r="U11" i="9" s="1"/>
  <c r="AA11" i="9" s="1"/>
  <c r="N11" i="9"/>
  <c r="T11" i="9" s="1"/>
  <c r="Z11" i="9" s="1"/>
  <c r="P10" i="9"/>
  <c r="V10" i="9" s="1"/>
  <c r="AB10" i="9" s="1"/>
  <c r="O10" i="9"/>
  <c r="U10" i="9" s="1"/>
  <c r="AA10" i="9" s="1"/>
  <c r="N10" i="9"/>
  <c r="T10" i="9" s="1"/>
  <c r="Z10" i="9" s="1"/>
  <c r="P9" i="9"/>
  <c r="V9" i="9" s="1"/>
  <c r="AB9" i="9" s="1"/>
  <c r="O9" i="9"/>
  <c r="U9" i="9" s="1"/>
  <c r="AA9" i="9" s="1"/>
  <c r="N9" i="9"/>
  <c r="T9" i="9" s="1"/>
  <c r="Z9" i="9" s="1"/>
  <c r="D8" i="9"/>
  <c r="P8" i="9" s="1"/>
  <c r="V8" i="9" s="1"/>
  <c r="AB8" i="9" s="1"/>
  <c r="C8" i="9"/>
  <c r="O8" i="9" s="1"/>
  <c r="U8" i="9" s="1"/>
  <c r="AA8" i="9" s="1"/>
  <c r="AC8" i="9" s="1"/>
  <c r="AH8" i="9" s="1"/>
  <c r="B8" i="9"/>
  <c r="N8" i="9" s="1"/>
  <c r="T8" i="9" s="1"/>
  <c r="Z8" i="9" s="1"/>
  <c r="D7" i="9"/>
  <c r="P7" i="9" s="1"/>
  <c r="V7" i="9" s="1"/>
  <c r="C7" i="9"/>
  <c r="O7" i="9" s="1"/>
  <c r="B7" i="9"/>
  <c r="AI21" i="6" l="1"/>
  <c r="AI29" i="6"/>
  <c r="AI40" i="6"/>
  <c r="AI12" i="6"/>
  <c r="AI28" i="6"/>
  <c r="AA42" i="6"/>
  <c r="AI24" i="6"/>
  <c r="AI36" i="6"/>
  <c r="Z7" i="6"/>
  <c r="X42" i="6"/>
  <c r="O42" i="6"/>
  <c r="N42" i="6"/>
  <c r="AI41" i="6"/>
  <c r="W42" i="6"/>
  <c r="AD27" i="12"/>
  <c r="AM27" i="12" s="1"/>
  <c r="AD28" i="12"/>
  <c r="AM28" i="12" s="1"/>
  <c r="AD10" i="12"/>
  <c r="AM10" i="12" s="1"/>
  <c r="AD21" i="12"/>
  <c r="AM21" i="12" s="1"/>
  <c r="AM19" i="12"/>
  <c r="AD11" i="12"/>
  <c r="AM11" i="12" s="1"/>
  <c r="AD18" i="12"/>
  <c r="AM18" i="12" s="1"/>
  <c r="AD17" i="12"/>
  <c r="AM17" i="12" s="1"/>
  <c r="C34" i="12"/>
  <c r="O34" i="12" s="1"/>
  <c r="AD15" i="12"/>
  <c r="AM15" i="12" s="1"/>
  <c r="AD29" i="12"/>
  <c r="AM29" i="12" s="1"/>
  <c r="AD20" i="12"/>
  <c r="AM20" i="12" s="1"/>
  <c r="AD22" i="12"/>
  <c r="AM22" i="12" s="1"/>
  <c r="AD23" i="12"/>
  <c r="AM23" i="12" s="1"/>
  <c r="AD12" i="12"/>
  <c r="AM12" i="12" s="1"/>
  <c r="AJ34" i="12"/>
  <c r="AD16" i="12"/>
  <c r="AM16" i="12" s="1"/>
  <c r="AD33" i="12"/>
  <c r="AM33" i="12" s="1"/>
  <c r="AD9" i="12"/>
  <c r="AM9" i="12" s="1"/>
  <c r="AD32" i="12"/>
  <c r="AM32" i="12" s="1"/>
  <c r="AD25" i="12"/>
  <c r="AM25" i="12" s="1"/>
  <c r="AD31" i="12"/>
  <c r="AM31" i="12" s="1"/>
  <c r="AD30" i="12"/>
  <c r="AM30" i="12" s="1"/>
  <c r="W34" i="12"/>
  <c r="AC8" i="12"/>
  <c r="AC34" i="12" s="1"/>
  <c r="E34" i="12"/>
  <c r="Q34" i="12" s="1"/>
  <c r="D34" i="12"/>
  <c r="P34" i="12" s="1"/>
  <c r="P13" i="12"/>
  <c r="V13" i="12" s="1"/>
  <c r="AB13" i="12" s="1"/>
  <c r="AD13" i="12" s="1"/>
  <c r="AM13" i="12" s="1"/>
  <c r="AD26" i="12"/>
  <c r="AM26" i="12" s="1"/>
  <c r="AG34" i="12"/>
  <c r="AI34" i="12" s="1"/>
  <c r="AD24" i="12"/>
  <c r="AM24" i="12" s="1"/>
  <c r="AA34" i="12"/>
  <c r="AD14" i="12"/>
  <c r="AM14" i="12" s="1"/>
  <c r="U34" i="12"/>
  <c r="AC11" i="11"/>
  <c r="AJ11" i="11" s="1"/>
  <c r="AC21" i="11"/>
  <c r="AJ21" i="11" s="1"/>
  <c r="AG27" i="11"/>
  <c r="N27" i="11"/>
  <c r="T27" i="11" s="1"/>
  <c r="AC17" i="11"/>
  <c r="AJ17" i="11" s="1"/>
  <c r="O27" i="11"/>
  <c r="U27" i="11" s="1"/>
  <c r="Z27" i="11"/>
  <c r="AC12" i="11"/>
  <c r="AJ12" i="11" s="1"/>
  <c r="AC14" i="11"/>
  <c r="AJ14" i="11" s="1"/>
  <c r="AC18" i="11"/>
  <c r="AJ18" i="11" s="1"/>
  <c r="AC19" i="11"/>
  <c r="AJ19" i="11" s="1"/>
  <c r="AC20" i="11"/>
  <c r="AJ20" i="11" s="1"/>
  <c r="AC9" i="11"/>
  <c r="AJ9" i="11" s="1"/>
  <c r="AC22" i="11"/>
  <c r="AJ22" i="11" s="1"/>
  <c r="AC23" i="11"/>
  <c r="AJ23" i="11" s="1"/>
  <c r="AC24" i="11"/>
  <c r="AJ24" i="11" s="1"/>
  <c r="AC25" i="11"/>
  <c r="AJ25" i="11" s="1"/>
  <c r="AA27" i="11"/>
  <c r="AC10" i="11"/>
  <c r="AJ10" i="11" s="1"/>
  <c r="AC13" i="11"/>
  <c r="AJ13" i="11" s="1"/>
  <c r="AC15" i="11"/>
  <c r="AJ15" i="11" s="1"/>
  <c r="AC16" i="11"/>
  <c r="AJ16" i="11" s="1"/>
  <c r="AC26" i="11"/>
  <c r="AJ26" i="11" s="1"/>
  <c r="AB27" i="11"/>
  <c r="AC8" i="11"/>
  <c r="AJ8" i="11" s="1"/>
  <c r="P27" i="11"/>
  <c r="V27" i="11" s="1"/>
  <c r="AC10" i="10"/>
  <c r="AK10" i="10" s="1"/>
  <c r="AC16" i="10"/>
  <c r="AK16" i="10" s="1"/>
  <c r="AC21" i="10"/>
  <c r="AK21" i="10" s="1"/>
  <c r="P22" i="10"/>
  <c r="V22" i="10" s="1"/>
  <c r="AC15" i="10"/>
  <c r="AK15" i="10" s="1"/>
  <c r="AK18" i="10"/>
  <c r="O22" i="10"/>
  <c r="U22" i="10" s="1"/>
  <c r="AA22" i="10"/>
  <c r="N22" i="10"/>
  <c r="T22" i="10" s="1"/>
  <c r="AC14" i="10"/>
  <c r="AK14" i="10" s="1"/>
  <c r="Z22" i="10"/>
  <c r="AB22" i="10"/>
  <c r="AC9" i="10"/>
  <c r="AK9" i="10" s="1"/>
  <c r="AC11" i="10"/>
  <c r="AK11" i="10" s="1"/>
  <c r="AC12" i="10"/>
  <c r="AK12" i="10" s="1"/>
  <c r="AC17" i="10"/>
  <c r="AK17" i="10" s="1"/>
  <c r="AC19" i="10"/>
  <c r="AK19" i="10" s="1"/>
  <c r="AC20" i="10"/>
  <c r="AK20" i="10" s="1"/>
  <c r="AC8" i="10"/>
  <c r="AC11" i="9"/>
  <c r="AH11" i="9" s="1"/>
  <c r="AC14" i="9"/>
  <c r="AH14" i="9" s="1"/>
  <c r="B15" i="9"/>
  <c r="AC12" i="9"/>
  <c r="AH12" i="9" s="1"/>
  <c r="AC9" i="9"/>
  <c r="AH9" i="9" s="1"/>
  <c r="AC10" i="9"/>
  <c r="AH10" i="9" s="1"/>
  <c r="D15" i="9"/>
  <c r="AB7" i="9"/>
  <c r="AB15" i="9" s="1"/>
  <c r="V15" i="9"/>
  <c r="O15" i="9"/>
  <c r="U7" i="9"/>
  <c r="C15" i="9"/>
  <c r="P15" i="9"/>
  <c r="N7" i="9"/>
  <c r="Z42" i="6" l="1"/>
  <c r="AI7" i="6"/>
  <c r="AI42" i="6" s="1"/>
  <c r="AD8" i="12"/>
  <c r="AM8" i="12" s="1"/>
  <c r="V34" i="12"/>
  <c r="AB34" i="12"/>
  <c r="AC27" i="11"/>
  <c r="AJ27" i="11"/>
  <c r="AK8" i="10"/>
  <c r="AK22" i="10" s="1"/>
  <c r="AC22" i="10"/>
  <c r="T7" i="9"/>
  <c r="N15" i="9"/>
  <c r="AA7" i="9"/>
  <c r="U15" i="9"/>
  <c r="AD34" i="12" l="1"/>
  <c r="AM34" i="12" s="1"/>
  <c r="AC7" i="9"/>
  <c r="AA15" i="9"/>
  <c r="Z7" i="9"/>
  <c r="Z15" i="9" s="1"/>
  <c r="T15" i="9"/>
  <c r="AC15" i="9" l="1"/>
  <c r="AH7" i="9"/>
  <c r="AH15" i="9" s="1"/>
  <c r="AH31" i="8" l="1"/>
  <c r="AG31" i="8"/>
  <c r="AE31" i="8"/>
  <c r="AD31" i="8"/>
  <c r="Y31" i="8"/>
  <c r="X31" i="8"/>
  <c r="W31" i="8"/>
  <c r="S31" i="8"/>
  <c r="R31" i="8"/>
  <c r="Q31" i="8"/>
  <c r="M31" i="8"/>
  <c r="L31" i="8"/>
  <c r="K31" i="8"/>
  <c r="J31" i="8"/>
  <c r="I31" i="8"/>
  <c r="H31" i="8"/>
  <c r="G31" i="8"/>
  <c r="F31" i="8"/>
  <c r="E31" i="8"/>
  <c r="P30" i="8"/>
  <c r="V30" i="8" s="1"/>
  <c r="AB30" i="8" s="1"/>
  <c r="D30" i="8"/>
  <c r="C30" i="8"/>
  <c r="O30" i="8" s="1"/>
  <c r="U30" i="8" s="1"/>
  <c r="AA30" i="8" s="1"/>
  <c r="B30" i="8"/>
  <c r="N30" i="8" s="1"/>
  <c r="T30" i="8" s="1"/>
  <c r="Z30" i="8" s="1"/>
  <c r="AB29" i="8"/>
  <c r="V29" i="8"/>
  <c r="U29" i="8"/>
  <c r="AA29" i="8" s="1"/>
  <c r="P29" i="8"/>
  <c r="O29" i="8"/>
  <c r="N29" i="8"/>
  <c r="T29" i="8" s="1"/>
  <c r="Z29" i="8" s="1"/>
  <c r="T28" i="8"/>
  <c r="Z28" i="8" s="1"/>
  <c r="N28" i="8"/>
  <c r="D28" i="8"/>
  <c r="P28" i="8" s="1"/>
  <c r="V28" i="8" s="1"/>
  <c r="AB28" i="8" s="1"/>
  <c r="C28" i="8"/>
  <c r="O28" i="8" s="1"/>
  <c r="U28" i="8" s="1"/>
  <c r="AA28" i="8" s="1"/>
  <c r="AC28" i="8" s="1"/>
  <c r="AI28" i="8" s="1"/>
  <c r="B28" i="8"/>
  <c r="V27" i="8"/>
  <c r="AB27" i="8" s="1"/>
  <c r="P27" i="8"/>
  <c r="O27" i="8"/>
  <c r="U27" i="8" s="1"/>
  <c r="AA27" i="8" s="1"/>
  <c r="AC27" i="8" s="1"/>
  <c r="AI27" i="8" s="1"/>
  <c r="N27" i="8"/>
  <c r="T27" i="8" s="1"/>
  <c r="Z27" i="8" s="1"/>
  <c r="U26" i="8"/>
  <c r="AA26" i="8" s="1"/>
  <c r="O26" i="8"/>
  <c r="N26" i="8"/>
  <c r="T26" i="8" s="1"/>
  <c r="Z26" i="8" s="1"/>
  <c r="D26" i="8"/>
  <c r="P26" i="8" s="1"/>
  <c r="V26" i="8" s="1"/>
  <c r="AB26" i="8" s="1"/>
  <c r="C26" i="8"/>
  <c r="B26" i="8"/>
  <c r="Z25" i="8"/>
  <c r="T25" i="8"/>
  <c r="P25" i="8"/>
  <c r="V25" i="8" s="1"/>
  <c r="AB25" i="8" s="1"/>
  <c r="O25" i="8"/>
  <c r="U25" i="8" s="1"/>
  <c r="AA25" i="8" s="1"/>
  <c r="N25" i="8"/>
  <c r="V24" i="8"/>
  <c r="AB24" i="8" s="1"/>
  <c r="U24" i="8"/>
  <c r="AA24" i="8" s="1"/>
  <c r="AC24" i="8" s="1"/>
  <c r="AI24" i="8" s="1"/>
  <c r="P24" i="8"/>
  <c r="O24" i="8"/>
  <c r="N24" i="8"/>
  <c r="T24" i="8" s="1"/>
  <c r="Z24" i="8" s="1"/>
  <c r="AB23" i="8"/>
  <c r="U23" i="8"/>
  <c r="AA23" i="8" s="1"/>
  <c r="AC23" i="8" s="1"/>
  <c r="AI23" i="8" s="1"/>
  <c r="T23" i="8"/>
  <c r="Z23" i="8" s="1"/>
  <c r="O23" i="8"/>
  <c r="N23" i="8"/>
  <c r="D23" i="8"/>
  <c r="P23" i="8" s="1"/>
  <c r="V23" i="8" s="1"/>
  <c r="C23" i="8"/>
  <c r="V22" i="8"/>
  <c r="AB22" i="8" s="1"/>
  <c r="U22" i="8"/>
  <c r="AA22" i="8" s="1"/>
  <c r="AC22" i="8" s="1"/>
  <c r="AI22" i="8" s="1"/>
  <c r="P22" i="8"/>
  <c r="O22" i="8"/>
  <c r="N22" i="8"/>
  <c r="T22" i="8" s="1"/>
  <c r="Z22" i="8" s="1"/>
  <c r="D22" i="8"/>
  <c r="C22" i="8"/>
  <c r="B22" i="8"/>
  <c r="AA21" i="8"/>
  <c r="N21" i="8"/>
  <c r="T21" i="8" s="1"/>
  <c r="Z21" i="8" s="1"/>
  <c r="D21" i="8"/>
  <c r="P21" i="8" s="1"/>
  <c r="V21" i="8" s="1"/>
  <c r="AB21" i="8" s="1"/>
  <c r="C21" i="8"/>
  <c r="O21" i="8" s="1"/>
  <c r="U21" i="8" s="1"/>
  <c r="B21" i="8"/>
  <c r="V20" i="8"/>
  <c r="AB20" i="8" s="1"/>
  <c r="U20" i="8"/>
  <c r="AA20" i="8" s="1"/>
  <c r="AC20" i="8" s="1"/>
  <c r="AI20" i="8" s="1"/>
  <c r="P20" i="8"/>
  <c r="O20" i="8"/>
  <c r="N20" i="8"/>
  <c r="T20" i="8" s="1"/>
  <c r="Z20" i="8" s="1"/>
  <c r="D20" i="8"/>
  <c r="C20" i="8"/>
  <c r="B20" i="8"/>
  <c r="U19" i="8"/>
  <c r="AA19" i="8" s="1"/>
  <c r="AC19" i="8" s="1"/>
  <c r="AI19" i="8" s="1"/>
  <c r="T19" i="8"/>
  <c r="Z19" i="8" s="1"/>
  <c r="N19" i="8"/>
  <c r="D19" i="8"/>
  <c r="P19" i="8" s="1"/>
  <c r="V19" i="8" s="1"/>
  <c r="AB19" i="8" s="1"/>
  <c r="C19" i="8"/>
  <c r="O19" i="8" s="1"/>
  <c r="B19" i="8"/>
  <c r="AF18" i="8"/>
  <c r="T18" i="8"/>
  <c r="Z18" i="8" s="1"/>
  <c r="D18" i="8"/>
  <c r="P18" i="8" s="1"/>
  <c r="V18" i="8" s="1"/>
  <c r="AB18" i="8" s="1"/>
  <c r="C18" i="8"/>
  <c r="O18" i="8" s="1"/>
  <c r="U18" i="8" s="1"/>
  <c r="AA18" i="8" s="1"/>
  <c r="B18" i="8"/>
  <c r="N18" i="8" s="1"/>
  <c r="O17" i="8"/>
  <c r="U17" i="8" s="1"/>
  <c r="AA17" i="8" s="1"/>
  <c r="D17" i="8"/>
  <c r="P17" i="8" s="1"/>
  <c r="V17" i="8" s="1"/>
  <c r="AB17" i="8" s="1"/>
  <c r="C17" i="8"/>
  <c r="B17" i="8"/>
  <c r="N17" i="8" s="1"/>
  <c r="T17" i="8" s="1"/>
  <c r="Z17" i="8" s="1"/>
  <c r="AA16" i="8"/>
  <c r="P16" i="8"/>
  <c r="V16" i="8" s="1"/>
  <c r="AB16" i="8" s="1"/>
  <c r="O16" i="8"/>
  <c r="U16" i="8" s="1"/>
  <c r="D16" i="8"/>
  <c r="C16" i="8"/>
  <c r="B16" i="8"/>
  <c r="N16" i="8" s="1"/>
  <c r="T16" i="8" s="1"/>
  <c r="Z16" i="8" s="1"/>
  <c r="V15" i="8"/>
  <c r="AB15" i="8" s="1"/>
  <c r="U15" i="8"/>
  <c r="AA15" i="8" s="1"/>
  <c r="O15" i="8"/>
  <c r="N15" i="8"/>
  <c r="T15" i="8" s="1"/>
  <c r="Z15" i="8" s="1"/>
  <c r="D15" i="8"/>
  <c r="P15" i="8" s="1"/>
  <c r="C15" i="8"/>
  <c r="B15" i="8"/>
  <c r="T14" i="8"/>
  <c r="Z14" i="8" s="1"/>
  <c r="D14" i="8"/>
  <c r="P14" i="8" s="1"/>
  <c r="V14" i="8" s="1"/>
  <c r="AB14" i="8" s="1"/>
  <c r="C14" i="8"/>
  <c r="O14" i="8" s="1"/>
  <c r="U14" i="8" s="1"/>
  <c r="AA14" i="8" s="1"/>
  <c r="B14" i="8"/>
  <c r="N14" i="8" s="1"/>
  <c r="O13" i="8"/>
  <c r="U13" i="8" s="1"/>
  <c r="AA13" i="8" s="1"/>
  <c r="AC13" i="8" s="1"/>
  <c r="AI13" i="8" s="1"/>
  <c r="D13" i="8"/>
  <c r="P13" i="8" s="1"/>
  <c r="V13" i="8" s="1"/>
  <c r="AB13" i="8" s="1"/>
  <c r="C13" i="8"/>
  <c r="B13" i="8"/>
  <c r="N13" i="8" s="1"/>
  <c r="T13" i="8" s="1"/>
  <c r="Z13" i="8" s="1"/>
  <c r="AA12" i="8"/>
  <c r="AC12" i="8" s="1"/>
  <c r="AI12" i="8" s="1"/>
  <c r="P12" i="8"/>
  <c r="V12" i="8" s="1"/>
  <c r="AB12" i="8" s="1"/>
  <c r="O12" i="8"/>
  <c r="U12" i="8" s="1"/>
  <c r="D12" i="8"/>
  <c r="C12" i="8"/>
  <c r="B12" i="8"/>
  <c r="N12" i="8" s="1"/>
  <c r="T12" i="8" s="1"/>
  <c r="Z12" i="8" s="1"/>
  <c r="AF11" i="8"/>
  <c r="V11" i="8"/>
  <c r="AB11" i="8" s="1"/>
  <c r="P11" i="8"/>
  <c r="O11" i="8"/>
  <c r="U11" i="8" s="1"/>
  <c r="AA11" i="8" s="1"/>
  <c r="AC11" i="8" s="1"/>
  <c r="AI11" i="8" s="1"/>
  <c r="D11" i="8"/>
  <c r="C11" i="8"/>
  <c r="B11" i="8"/>
  <c r="N11" i="8" s="1"/>
  <c r="T11" i="8" s="1"/>
  <c r="Z11" i="8" s="1"/>
  <c r="U10" i="8"/>
  <c r="AA10" i="8" s="1"/>
  <c r="AC10" i="8" s="1"/>
  <c r="AI10" i="8" s="1"/>
  <c r="N10" i="8"/>
  <c r="T10" i="8" s="1"/>
  <c r="Z10" i="8" s="1"/>
  <c r="D10" i="8"/>
  <c r="P10" i="8" s="1"/>
  <c r="V10" i="8" s="1"/>
  <c r="AB10" i="8" s="1"/>
  <c r="C10" i="8"/>
  <c r="O10" i="8" s="1"/>
  <c r="B10" i="8"/>
  <c r="V9" i="8"/>
  <c r="AB9" i="8" s="1"/>
  <c r="U9" i="8"/>
  <c r="AA9" i="8" s="1"/>
  <c r="AC9" i="8" s="1"/>
  <c r="AI9" i="8" s="1"/>
  <c r="P9" i="8"/>
  <c r="O9" i="8"/>
  <c r="N9" i="8"/>
  <c r="T9" i="8" s="1"/>
  <c r="Z9" i="8" s="1"/>
  <c r="D9" i="8"/>
  <c r="C9" i="8"/>
  <c r="B9" i="8"/>
  <c r="U8" i="8"/>
  <c r="AA8" i="8" s="1"/>
  <c r="T8" i="8"/>
  <c r="Z8" i="8" s="1"/>
  <c r="N8" i="8"/>
  <c r="D8" i="8"/>
  <c r="D31" i="8" s="1"/>
  <c r="P31" i="8" s="1"/>
  <c r="C8" i="8"/>
  <c r="O8" i="8" s="1"/>
  <c r="B8" i="8"/>
  <c r="P7" i="8"/>
  <c r="V7" i="8" s="1"/>
  <c r="N7" i="8"/>
  <c r="T7" i="8" s="1"/>
  <c r="D7" i="8"/>
  <c r="C7" i="8"/>
  <c r="C31" i="8" s="1"/>
  <c r="O31" i="8" s="1"/>
  <c r="B7" i="8"/>
  <c r="AF38" i="7"/>
  <c r="AE38" i="7"/>
  <c r="Y38" i="7"/>
  <c r="X38" i="7"/>
  <c r="W38" i="7"/>
  <c r="M38" i="7"/>
  <c r="L38" i="7"/>
  <c r="K38" i="7"/>
  <c r="J38" i="7"/>
  <c r="I38" i="7"/>
  <c r="H38" i="7"/>
  <c r="G38" i="7"/>
  <c r="F38" i="7"/>
  <c r="E38" i="7"/>
  <c r="P37" i="7"/>
  <c r="V37" i="7" s="1"/>
  <c r="AB37" i="7" s="1"/>
  <c r="O37" i="7"/>
  <c r="U37" i="7" s="1"/>
  <c r="AA37" i="7" s="1"/>
  <c r="N37" i="7"/>
  <c r="T37" i="7" s="1"/>
  <c r="Z37" i="7" s="1"/>
  <c r="U36" i="7"/>
  <c r="AA36" i="7" s="1"/>
  <c r="P36" i="7"/>
  <c r="V36" i="7" s="1"/>
  <c r="AB36" i="7" s="1"/>
  <c r="O36" i="7"/>
  <c r="N36" i="7"/>
  <c r="T36" i="7" s="1"/>
  <c r="Z36" i="7" s="1"/>
  <c r="U35" i="7"/>
  <c r="AA35" i="7" s="1"/>
  <c r="P35" i="7"/>
  <c r="V35" i="7" s="1"/>
  <c r="AB35" i="7" s="1"/>
  <c r="O35" i="7"/>
  <c r="N35" i="7"/>
  <c r="T35" i="7" s="1"/>
  <c r="Z35" i="7" s="1"/>
  <c r="P34" i="7"/>
  <c r="V34" i="7" s="1"/>
  <c r="AB34" i="7" s="1"/>
  <c r="O34" i="7"/>
  <c r="U34" i="7" s="1"/>
  <c r="AA34" i="7" s="1"/>
  <c r="N34" i="7"/>
  <c r="T34" i="7" s="1"/>
  <c r="Z34" i="7" s="1"/>
  <c r="P33" i="7"/>
  <c r="V33" i="7" s="1"/>
  <c r="AB33" i="7" s="1"/>
  <c r="O33" i="7"/>
  <c r="U33" i="7" s="1"/>
  <c r="AA33" i="7" s="1"/>
  <c r="AD33" i="7" s="1"/>
  <c r="N33" i="7"/>
  <c r="T33" i="7" s="1"/>
  <c r="Z33" i="7" s="1"/>
  <c r="P32" i="7"/>
  <c r="V32" i="7" s="1"/>
  <c r="AB32" i="7" s="1"/>
  <c r="O32" i="7"/>
  <c r="U32" i="7" s="1"/>
  <c r="AA32" i="7" s="1"/>
  <c r="N32" i="7"/>
  <c r="T32" i="7" s="1"/>
  <c r="Z32" i="7" s="1"/>
  <c r="V31" i="7"/>
  <c r="AB31" i="7" s="1"/>
  <c r="P31" i="7"/>
  <c r="O31" i="7"/>
  <c r="U31" i="7" s="1"/>
  <c r="AA31" i="7" s="1"/>
  <c r="N31" i="7"/>
  <c r="T31" i="7" s="1"/>
  <c r="Z31" i="7" s="1"/>
  <c r="P30" i="7"/>
  <c r="V30" i="7" s="1"/>
  <c r="AB30" i="7" s="1"/>
  <c r="O30" i="7"/>
  <c r="U30" i="7" s="1"/>
  <c r="AA30" i="7" s="1"/>
  <c r="N30" i="7"/>
  <c r="T30" i="7" s="1"/>
  <c r="Z30" i="7" s="1"/>
  <c r="P29" i="7"/>
  <c r="V29" i="7" s="1"/>
  <c r="AB29" i="7" s="1"/>
  <c r="O29" i="7"/>
  <c r="U29" i="7" s="1"/>
  <c r="AA29" i="7" s="1"/>
  <c r="N29" i="7"/>
  <c r="T29" i="7" s="1"/>
  <c r="Z29" i="7" s="1"/>
  <c r="P28" i="7"/>
  <c r="V28" i="7" s="1"/>
  <c r="AB28" i="7" s="1"/>
  <c r="O28" i="7"/>
  <c r="U28" i="7" s="1"/>
  <c r="AA28" i="7" s="1"/>
  <c r="AC28" i="7" s="1"/>
  <c r="AG28" i="7" s="1"/>
  <c r="N28" i="7"/>
  <c r="T28" i="7" s="1"/>
  <c r="Z28" i="7" s="1"/>
  <c r="P27" i="7"/>
  <c r="V27" i="7" s="1"/>
  <c r="AB27" i="7" s="1"/>
  <c r="O27" i="7"/>
  <c r="U27" i="7" s="1"/>
  <c r="AA27" i="7" s="1"/>
  <c r="N27" i="7"/>
  <c r="T27" i="7" s="1"/>
  <c r="Z27" i="7" s="1"/>
  <c r="P26" i="7"/>
  <c r="V26" i="7" s="1"/>
  <c r="AB26" i="7" s="1"/>
  <c r="O26" i="7"/>
  <c r="U26" i="7" s="1"/>
  <c r="AA26" i="7" s="1"/>
  <c r="N26" i="7"/>
  <c r="T26" i="7" s="1"/>
  <c r="Z26" i="7" s="1"/>
  <c r="T25" i="7"/>
  <c r="Z25" i="7" s="1"/>
  <c r="P25" i="7"/>
  <c r="V25" i="7" s="1"/>
  <c r="AB25" i="7" s="1"/>
  <c r="O25" i="7"/>
  <c r="U25" i="7" s="1"/>
  <c r="AA25" i="7" s="1"/>
  <c r="N25" i="7"/>
  <c r="T24" i="7"/>
  <c r="Z24" i="7" s="1"/>
  <c r="P24" i="7"/>
  <c r="V24" i="7" s="1"/>
  <c r="AB24" i="7" s="1"/>
  <c r="O24" i="7"/>
  <c r="U24" i="7" s="1"/>
  <c r="AA24" i="7" s="1"/>
  <c r="N24" i="7"/>
  <c r="P23" i="7"/>
  <c r="V23" i="7" s="1"/>
  <c r="AB23" i="7" s="1"/>
  <c r="O23" i="7"/>
  <c r="U23" i="7" s="1"/>
  <c r="AA23" i="7" s="1"/>
  <c r="D23" i="7"/>
  <c r="C23" i="7"/>
  <c r="B23" i="7"/>
  <c r="N23" i="7" s="1"/>
  <c r="T23" i="7" s="1"/>
  <c r="Z23" i="7" s="1"/>
  <c r="O22" i="7"/>
  <c r="U22" i="7" s="1"/>
  <c r="AA22" i="7" s="1"/>
  <c r="AC22" i="7" s="1"/>
  <c r="AG22" i="7" s="1"/>
  <c r="D22" i="7"/>
  <c r="P22" i="7" s="1"/>
  <c r="V22" i="7" s="1"/>
  <c r="AB22" i="7" s="1"/>
  <c r="C22" i="7"/>
  <c r="B22" i="7"/>
  <c r="N22" i="7" s="1"/>
  <c r="T22" i="7" s="1"/>
  <c r="Z22" i="7" s="1"/>
  <c r="D21" i="7"/>
  <c r="P21" i="7" s="1"/>
  <c r="V21" i="7" s="1"/>
  <c r="AB21" i="7" s="1"/>
  <c r="C21" i="7"/>
  <c r="O21" i="7" s="1"/>
  <c r="U21" i="7" s="1"/>
  <c r="AA21" i="7" s="1"/>
  <c r="B21" i="7"/>
  <c r="N21" i="7" s="1"/>
  <c r="T21" i="7" s="1"/>
  <c r="Z21" i="7" s="1"/>
  <c r="N20" i="7"/>
  <c r="T20" i="7" s="1"/>
  <c r="Z20" i="7" s="1"/>
  <c r="D20" i="7"/>
  <c r="P20" i="7" s="1"/>
  <c r="V20" i="7" s="1"/>
  <c r="AB20" i="7" s="1"/>
  <c r="C20" i="7"/>
  <c r="O20" i="7" s="1"/>
  <c r="U20" i="7" s="1"/>
  <c r="AA20" i="7" s="1"/>
  <c r="B20" i="7"/>
  <c r="D19" i="7"/>
  <c r="P19" i="7" s="1"/>
  <c r="V19" i="7" s="1"/>
  <c r="AB19" i="7" s="1"/>
  <c r="C19" i="7"/>
  <c r="O19" i="7" s="1"/>
  <c r="U19" i="7" s="1"/>
  <c r="AA19" i="7" s="1"/>
  <c r="B19" i="7"/>
  <c r="N19" i="7" s="1"/>
  <c r="T19" i="7" s="1"/>
  <c r="Z19" i="7" s="1"/>
  <c r="D18" i="7"/>
  <c r="C18" i="7"/>
  <c r="O18" i="7" s="1"/>
  <c r="U18" i="7" s="1"/>
  <c r="AA18" i="7" s="1"/>
  <c r="B18" i="7"/>
  <c r="N18" i="7" s="1"/>
  <c r="T18" i="7" s="1"/>
  <c r="Z18" i="7" s="1"/>
  <c r="P17" i="7"/>
  <c r="V17" i="7" s="1"/>
  <c r="AB17" i="7" s="1"/>
  <c r="O17" i="7"/>
  <c r="U17" i="7" s="1"/>
  <c r="AA17" i="7" s="1"/>
  <c r="N17" i="7"/>
  <c r="T17" i="7" s="1"/>
  <c r="Z17" i="7" s="1"/>
  <c r="P16" i="7"/>
  <c r="V16" i="7" s="1"/>
  <c r="AB16" i="7" s="1"/>
  <c r="O16" i="7"/>
  <c r="U16" i="7" s="1"/>
  <c r="AA16" i="7" s="1"/>
  <c r="N16" i="7"/>
  <c r="T16" i="7" s="1"/>
  <c r="Z16" i="7" s="1"/>
  <c r="P15" i="7"/>
  <c r="V15" i="7" s="1"/>
  <c r="AB15" i="7" s="1"/>
  <c r="O15" i="7"/>
  <c r="U15" i="7" s="1"/>
  <c r="AA15" i="7" s="1"/>
  <c r="N15" i="7"/>
  <c r="T15" i="7" s="1"/>
  <c r="Z15" i="7" s="1"/>
  <c r="P14" i="7"/>
  <c r="V14" i="7" s="1"/>
  <c r="AB14" i="7" s="1"/>
  <c r="O14" i="7"/>
  <c r="U14" i="7" s="1"/>
  <c r="AA14" i="7" s="1"/>
  <c r="N14" i="7"/>
  <c r="T14" i="7" s="1"/>
  <c r="Z14" i="7" s="1"/>
  <c r="P13" i="7"/>
  <c r="V13" i="7" s="1"/>
  <c r="AB13" i="7" s="1"/>
  <c r="O13" i="7"/>
  <c r="U13" i="7" s="1"/>
  <c r="AA13" i="7" s="1"/>
  <c r="N13" i="7"/>
  <c r="T13" i="7" s="1"/>
  <c r="Z13" i="7" s="1"/>
  <c r="D12" i="7"/>
  <c r="P12" i="7" s="1"/>
  <c r="V12" i="7" s="1"/>
  <c r="AB12" i="7" s="1"/>
  <c r="C12" i="7"/>
  <c r="B12" i="7"/>
  <c r="B38" i="7" s="1"/>
  <c r="P11" i="7"/>
  <c r="V11" i="7" s="1"/>
  <c r="AB11" i="7" s="1"/>
  <c r="O11" i="7"/>
  <c r="U11" i="7" s="1"/>
  <c r="AA11" i="7" s="1"/>
  <c r="N11" i="7"/>
  <c r="T11" i="7" s="1"/>
  <c r="Z11" i="7" s="1"/>
  <c r="P10" i="7"/>
  <c r="V10" i="7" s="1"/>
  <c r="AB10" i="7" s="1"/>
  <c r="O10" i="7"/>
  <c r="U10" i="7" s="1"/>
  <c r="AA10" i="7" s="1"/>
  <c r="N10" i="7"/>
  <c r="T10" i="7" s="1"/>
  <c r="Z10" i="7" s="1"/>
  <c r="P9" i="7"/>
  <c r="V9" i="7" s="1"/>
  <c r="AB9" i="7" s="1"/>
  <c r="O9" i="7"/>
  <c r="U9" i="7" s="1"/>
  <c r="AA9" i="7" s="1"/>
  <c r="N9" i="7"/>
  <c r="T9" i="7" s="1"/>
  <c r="Z9" i="7" s="1"/>
  <c r="P8" i="7"/>
  <c r="V8" i="7" s="1"/>
  <c r="AB8" i="7" s="1"/>
  <c r="O8" i="7"/>
  <c r="U8" i="7" s="1"/>
  <c r="AA8" i="7" s="1"/>
  <c r="N8" i="7"/>
  <c r="T8" i="7" s="1"/>
  <c r="Z8" i="7" s="1"/>
  <c r="P7" i="7"/>
  <c r="V7" i="7" s="1"/>
  <c r="AB7" i="7" s="1"/>
  <c r="O7" i="7"/>
  <c r="U7" i="7" s="1"/>
  <c r="AA7" i="7" s="1"/>
  <c r="N7" i="7"/>
  <c r="T7" i="7" s="1"/>
  <c r="Z7" i="7" s="1"/>
  <c r="P6" i="7"/>
  <c r="V6" i="7" s="1"/>
  <c r="AB6" i="7" s="1"/>
  <c r="O6" i="7"/>
  <c r="U6" i="7" s="1"/>
  <c r="AA6" i="7" s="1"/>
  <c r="N6" i="7"/>
  <c r="T6" i="7" s="1"/>
  <c r="Z6" i="7" s="1"/>
  <c r="AG15" i="5"/>
  <c r="AF15" i="5"/>
  <c r="AE15" i="5"/>
  <c r="AD15" i="5"/>
  <c r="Y15" i="5"/>
  <c r="X15" i="5"/>
  <c r="W15" i="5"/>
  <c r="S15" i="5"/>
  <c r="M15" i="5"/>
  <c r="L15" i="5"/>
  <c r="K15" i="5"/>
  <c r="J15" i="5"/>
  <c r="I15" i="5"/>
  <c r="H15" i="5"/>
  <c r="P14" i="5"/>
  <c r="V14" i="5" s="1"/>
  <c r="AB14" i="5" s="1"/>
  <c r="O14" i="5"/>
  <c r="U14" i="5" s="1"/>
  <c r="AA14" i="5" s="1"/>
  <c r="N14" i="5"/>
  <c r="T14" i="5" s="1"/>
  <c r="Z14" i="5" s="1"/>
  <c r="P13" i="5"/>
  <c r="V13" i="5" s="1"/>
  <c r="AB13" i="5" s="1"/>
  <c r="O13" i="5"/>
  <c r="U13" i="5" s="1"/>
  <c r="AA13" i="5" s="1"/>
  <c r="N13" i="5"/>
  <c r="T13" i="5" s="1"/>
  <c r="Z13" i="5" s="1"/>
  <c r="G12" i="5"/>
  <c r="F12" i="5"/>
  <c r="E12" i="5"/>
  <c r="D12" i="5"/>
  <c r="C12" i="5"/>
  <c r="B12" i="5"/>
  <c r="N11" i="5"/>
  <c r="T11" i="5" s="1"/>
  <c r="Z11" i="5" s="1"/>
  <c r="G11" i="5"/>
  <c r="F11" i="5"/>
  <c r="E11" i="5"/>
  <c r="D11" i="5"/>
  <c r="C11" i="5"/>
  <c r="B11" i="5"/>
  <c r="G10" i="5"/>
  <c r="F10" i="5"/>
  <c r="E10" i="5"/>
  <c r="D10" i="5"/>
  <c r="C10" i="5"/>
  <c r="B10" i="5"/>
  <c r="AH9" i="5"/>
  <c r="AH15" i="5" s="1"/>
  <c r="G9" i="5"/>
  <c r="F9" i="5"/>
  <c r="E9" i="5"/>
  <c r="D9" i="5"/>
  <c r="C9" i="5"/>
  <c r="B9" i="5"/>
  <c r="G8" i="5"/>
  <c r="F8" i="5"/>
  <c r="E8" i="5"/>
  <c r="D8" i="5"/>
  <c r="C8" i="5"/>
  <c r="B8" i="5"/>
  <c r="G7" i="5"/>
  <c r="F7" i="5"/>
  <c r="E7" i="5"/>
  <c r="N7" i="5" s="1"/>
  <c r="T7" i="5" s="1"/>
  <c r="Z7" i="5" s="1"/>
  <c r="D7" i="5"/>
  <c r="C7" i="5"/>
  <c r="B7" i="5"/>
  <c r="N6" i="5"/>
  <c r="T6" i="5" s="1"/>
  <c r="Z6" i="5" s="1"/>
  <c r="G6" i="5"/>
  <c r="F6" i="5"/>
  <c r="E6" i="5"/>
  <c r="D6" i="5"/>
  <c r="C6" i="5"/>
  <c r="B6" i="5"/>
  <c r="P25" i="4"/>
  <c r="O25" i="4"/>
  <c r="N25" i="4"/>
  <c r="M25" i="4"/>
  <c r="L25" i="4"/>
  <c r="K25" i="4"/>
  <c r="J25" i="4"/>
  <c r="I25" i="4"/>
  <c r="H25" i="4"/>
  <c r="G25" i="4"/>
  <c r="F25" i="4"/>
  <c r="E25" i="4"/>
  <c r="C25" i="4"/>
  <c r="B25" i="4"/>
  <c r="S24" i="4"/>
  <c r="R24" i="4"/>
  <c r="Q24" i="4"/>
  <c r="S23" i="4"/>
  <c r="R23" i="4"/>
  <c r="Q23" i="4"/>
  <c r="S22" i="4"/>
  <c r="R22" i="4"/>
  <c r="T22" i="4" s="1"/>
  <c r="Q22" i="4"/>
  <c r="S21" i="4"/>
  <c r="R21" i="4"/>
  <c r="T21" i="4" s="1"/>
  <c r="Q21" i="4"/>
  <c r="U21" i="4" s="1"/>
  <c r="S20" i="4"/>
  <c r="R20" i="4"/>
  <c r="T20" i="4" s="1"/>
  <c r="Q20" i="4"/>
  <c r="U20" i="4" s="1"/>
  <c r="S19" i="4"/>
  <c r="T19" i="4" s="1"/>
  <c r="R19" i="4"/>
  <c r="Q19" i="4"/>
  <c r="W14" i="4"/>
  <c r="U14" i="4"/>
  <c r="T14" i="4"/>
  <c r="M14" i="4"/>
  <c r="L14" i="4"/>
  <c r="K14" i="4"/>
  <c r="J14" i="4"/>
  <c r="I14" i="4"/>
  <c r="H14" i="4"/>
  <c r="G14" i="4"/>
  <c r="F14" i="4"/>
  <c r="E14" i="4"/>
  <c r="D14" i="4"/>
  <c r="C14" i="4"/>
  <c r="B14" i="4"/>
  <c r="AA13" i="4"/>
  <c r="Q13" i="4"/>
  <c r="P13" i="4"/>
  <c r="S13" i="4" s="1"/>
  <c r="O13" i="4"/>
  <c r="R13" i="4" s="1"/>
  <c r="S12" i="4"/>
  <c r="R12" i="4"/>
  <c r="X12" i="4" s="1"/>
  <c r="Q12" i="4"/>
  <c r="Y12" i="4" s="1"/>
  <c r="P12" i="4"/>
  <c r="O12" i="4"/>
  <c r="Z12" i="4" s="1"/>
  <c r="N12" i="4"/>
  <c r="N14" i="4" s="1"/>
  <c r="AA14" i="4" s="1"/>
  <c r="AA11" i="4"/>
  <c r="Q11" i="4"/>
  <c r="P11" i="4"/>
  <c r="S11" i="4" s="1"/>
  <c r="O11" i="4"/>
  <c r="O14" i="4" s="1"/>
  <c r="AA10" i="4"/>
  <c r="R10" i="4"/>
  <c r="Q10" i="4"/>
  <c r="P10" i="4"/>
  <c r="S10" i="4" s="1"/>
  <c r="O10" i="4"/>
  <c r="Z10" i="4" s="1"/>
  <c r="AA9" i="4"/>
  <c r="Z9" i="4"/>
  <c r="R9" i="4"/>
  <c r="Q9" i="4"/>
  <c r="P9" i="4"/>
  <c r="S9" i="4" s="1"/>
  <c r="AA8" i="4"/>
  <c r="Z8" i="4"/>
  <c r="V8" i="4"/>
  <c r="V14" i="4" s="1"/>
  <c r="R8" i="4"/>
  <c r="Q8" i="4"/>
  <c r="P8" i="4"/>
  <c r="P14" i="4" s="1"/>
  <c r="AC18" i="8" l="1"/>
  <c r="AI18" i="8" s="1"/>
  <c r="AB7" i="8"/>
  <c r="AC16" i="8"/>
  <c r="AI16" i="8" s="1"/>
  <c r="AC17" i="8"/>
  <c r="AI17" i="8" s="1"/>
  <c r="AC14" i="8"/>
  <c r="AI14" i="8" s="1"/>
  <c r="AC15" i="8"/>
  <c r="AI15" i="8" s="1"/>
  <c r="AF31" i="8"/>
  <c r="AC25" i="8"/>
  <c r="AI25" i="8" s="1"/>
  <c r="AC21" i="8"/>
  <c r="AI21" i="8" s="1"/>
  <c r="T31" i="8"/>
  <c r="AC26" i="8"/>
  <c r="AI26" i="8" s="1"/>
  <c r="AC29" i="8"/>
  <c r="AI29" i="8" s="1"/>
  <c r="AC30" i="8"/>
  <c r="AI30" i="8" s="1"/>
  <c r="B31" i="8"/>
  <c r="N31" i="8" s="1"/>
  <c r="O7" i="8"/>
  <c r="U7" i="8" s="1"/>
  <c r="Z7" i="8"/>
  <c r="Z31" i="8" s="1"/>
  <c r="P8" i="8"/>
  <c r="V8" i="8" s="1"/>
  <c r="AB8" i="8" s="1"/>
  <c r="AC8" i="8" s="1"/>
  <c r="AI8" i="8" s="1"/>
  <c r="N38" i="7"/>
  <c r="T38" i="7" s="1"/>
  <c r="Z38" i="7" s="1"/>
  <c r="AC35" i="7"/>
  <c r="AG35" i="7" s="1"/>
  <c r="C38" i="7"/>
  <c r="AC10" i="7"/>
  <c r="AG10" i="7" s="1"/>
  <c r="AC26" i="7"/>
  <c r="AG26" i="7" s="1"/>
  <c r="AC30" i="7"/>
  <c r="AG30" i="7" s="1"/>
  <c r="AC15" i="7"/>
  <c r="AG15" i="7" s="1"/>
  <c r="O12" i="7"/>
  <c r="U12" i="7" s="1"/>
  <c r="AA12" i="7" s="1"/>
  <c r="AC12" i="7" s="1"/>
  <c r="AG12" i="7" s="1"/>
  <c r="AC21" i="7"/>
  <c r="AG21" i="7" s="1"/>
  <c r="AC16" i="7"/>
  <c r="AG16" i="7" s="1"/>
  <c r="AC8" i="7"/>
  <c r="AG8" i="7" s="1"/>
  <c r="AC13" i="7"/>
  <c r="AG13" i="7" s="1"/>
  <c r="AC17" i="7"/>
  <c r="AG17" i="7" s="1"/>
  <c r="AC20" i="7"/>
  <c r="AG20" i="7" s="1"/>
  <c r="AC32" i="7"/>
  <c r="AG32" i="7" s="1"/>
  <c r="AC36" i="7"/>
  <c r="AG36" i="7" s="1"/>
  <c r="AC6" i="7"/>
  <c r="AG6" i="7" s="1"/>
  <c r="N12" i="7"/>
  <c r="T12" i="7" s="1"/>
  <c r="Z12" i="7" s="1"/>
  <c r="AC19" i="7"/>
  <c r="AG19" i="7" s="1"/>
  <c r="AC31" i="7"/>
  <c r="AG31" i="7" s="1"/>
  <c r="AC37" i="7"/>
  <c r="AG37" i="7" s="1"/>
  <c r="P18" i="7"/>
  <c r="V18" i="7" s="1"/>
  <c r="AB18" i="7" s="1"/>
  <c r="D38" i="7"/>
  <c r="P38" i="7" s="1"/>
  <c r="V38" i="7" s="1"/>
  <c r="AB38" i="7" s="1"/>
  <c r="AC33" i="7"/>
  <c r="AG33" i="7" s="1"/>
  <c r="AC34" i="7"/>
  <c r="AG34" i="7" s="1"/>
  <c r="AC18" i="7"/>
  <c r="AG18" i="7" s="1"/>
  <c r="AC23" i="7"/>
  <c r="AG23" i="7" s="1"/>
  <c r="AC25" i="7"/>
  <c r="AD25" i="7"/>
  <c r="AD38" i="7" s="1"/>
  <c r="AC24" i="7"/>
  <c r="AG24" i="7" s="1"/>
  <c r="AC7" i="7"/>
  <c r="AG7" i="7" s="1"/>
  <c r="O38" i="7"/>
  <c r="U38" i="7" s="1"/>
  <c r="AA38" i="7" s="1"/>
  <c r="AC9" i="7"/>
  <c r="AG9" i="7" s="1"/>
  <c r="AC11" i="7"/>
  <c r="AG11" i="7" s="1"/>
  <c r="AC14" i="7"/>
  <c r="AG14" i="7" s="1"/>
  <c r="AC27" i="7"/>
  <c r="AG27" i="7" s="1"/>
  <c r="AC29" i="7"/>
  <c r="AG29" i="7" s="1"/>
  <c r="P9" i="5"/>
  <c r="V9" i="5" s="1"/>
  <c r="AB9" i="5" s="1"/>
  <c r="O10" i="5"/>
  <c r="U10" i="5" s="1"/>
  <c r="AA10" i="5" s="1"/>
  <c r="O9" i="5"/>
  <c r="U9" i="5" s="1"/>
  <c r="AA9" i="5" s="1"/>
  <c r="AC9" i="5" s="1"/>
  <c r="AI9" i="5" s="1"/>
  <c r="N8" i="5"/>
  <c r="T8" i="5" s="1"/>
  <c r="Z8" i="5" s="1"/>
  <c r="N10" i="5"/>
  <c r="T10" i="5" s="1"/>
  <c r="Z10" i="5" s="1"/>
  <c r="O11" i="5"/>
  <c r="U11" i="5" s="1"/>
  <c r="AA11" i="5" s="1"/>
  <c r="AC11" i="5" s="1"/>
  <c r="AI11" i="5" s="1"/>
  <c r="O8" i="5"/>
  <c r="U8" i="5" s="1"/>
  <c r="AA8" i="5" s="1"/>
  <c r="AC8" i="5" s="1"/>
  <c r="AI8" i="5" s="1"/>
  <c r="P10" i="5"/>
  <c r="V10" i="5" s="1"/>
  <c r="AB10" i="5" s="1"/>
  <c r="AC10" i="5" s="1"/>
  <c r="AI10" i="5" s="1"/>
  <c r="P11" i="5"/>
  <c r="V11" i="5" s="1"/>
  <c r="AB11" i="5" s="1"/>
  <c r="AC14" i="5"/>
  <c r="AI14" i="5" s="1"/>
  <c r="B15" i="5"/>
  <c r="N15" i="5" s="1"/>
  <c r="T15" i="5" s="1"/>
  <c r="P8" i="5"/>
  <c r="V8" i="5" s="1"/>
  <c r="AB8" i="5" s="1"/>
  <c r="N12" i="5"/>
  <c r="T12" i="5" s="1"/>
  <c r="Z12" i="5" s="1"/>
  <c r="C15" i="5"/>
  <c r="G15" i="5"/>
  <c r="O7" i="5"/>
  <c r="U7" i="5" s="1"/>
  <c r="AA7" i="5" s="1"/>
  <c r="O12" i="5"/>
  <c r="U12" i="5" s="1"/>
  <c r="AA12" i="5" s="1"/>
  <c r="P12" i="5"/>
  <c r="V12" i="5" s="1"/>
  <c r="AB12" i="5" s="1"/>
  <c r="P7" i="5"/>
  <c r="V7" i="5" s="1"/>
  <c r="AB7" i="5" s="1"/>
  <c r="AC7" i="5" s="1"/>
  <c r="AI7" i="5" s="1"/>
  <c r="O6" i="5"/>
  <c r="U6" i="5" s="1"/>
  <c r="AA6" i="5" s="1"/>
  <c r="F15" i="5"/>
  <c r="D15" i="5"/>
  <c r="E15" i="5"/>
  <c r="P6" i="5"/>
  <c r="V6" i="5" s="1"/>
  <c r="AB6" i="5" s="1"/>
  <c r="N9" i="5"/>
  <c r="T9" i="5" s="1"/>
  <c r="Z9" i="5" s="1"/>
  <c r="Z15" i="5" s="1"/>
  <c r="AC13" i="5"/>
  <c r="AI13" i="5" s="1"/>
  <c r="Z13" i="4"/>
  <c r="Q14" i="4"/>
  <c r="Y9" i="4"/>
  <c r="X13" i="4"/>
  <c r="T23" i="4"/>
  <c r="X9" i="4"/>
  <c r="Y11" i="4"/>
  <c r="Q25" i="4"/>
  <c r="U24" i="4"/>
  <c r="S8" i="4"/>
  <c r="S14" i="4" s="1"/>
  <c r="X10" i="4"/>
  <c r="R25" i="4"/>
  <c r="U22" i="4"/>
  <c r="U23" i="4"/>
  <c r="T24" i="4"/>
  <c r="Y10" i="4"/>
  <c r="T25" i="4"/>
  <c r="Y13" i="4"/>
  <c r="AA12" i="4"/>
  <c r="U19" i="4"/>
  <c r="R11" i="4"/>
  <c r="X11" i="4" s="1"/>
  <c r="Z11" i="4"/>
  <c r="Z14" i="4" s="1"/>
  <c r="S25" i="4"/>
  <c r="P33" i="3"/>
  <c r="O33" i="3"/>
  <c r="N33" i="3"/>
  <c r="L33" i="3"/>
  <c r="K33" i="3"/>
  <c r="J33" i="3"/>
  <c r="I33" i="3"/>
  <c r="H33" i="3"/>
  <c r="G33" i="3"/>
  <c r="F33" i="3"/>
  <c r="E33" i="3"/>
  <c r="C33" i="3"/>
  <c r="B33" i="3"/>
  <c r="S32" i="3"/>
  <c r="R32" i="3"/>
  <c r="Q32" i="3"/>
  <c r="S31" i="3"/>
  <c r="R31" i="3"/>
  <c r="Q31" i="3"/>
  <c r="S30" i="3"/>
  <c r="R30" i="3"/>
  <c r="Q30" i="3"/>
  <c r="S29" i="3"/>
  <c r="R29" i="3"/>
  <c r="Q29" i="3"/>
  <c r="S28" i="3"/>
  <c r="R28" i="3"/>
  <c r="Q28" i="3"/>
  <c r="S27" i="3"/>
  <c r="R27" i="3"/>
  <c r="Q27" i="3"/>
  <c r="S26" i="3"/>
  <c r="R26" i="3"/>
  <c r="Q26" i="3"/>
  <c r="R25" i="3"/>
  <c r="Q25" i="3"/>
  <c r="M25" i="3"/>
  <c r="M33" i="3" s="1"/>
  <c r="AB20" i="3"/>
  <c r="X20" i="3"/>
  <c r="W20" i="3"/>
  <c r="V20" i="3"/>
  <c r="U20" i="3"/>
  <c r="M20" i="3"/>
  <c r="L20" i="3"/>
  <c r="K20" i="3"/>
  <c r="J20" i="3"/>
  <c r="I20" i="3"/>
  <c r="H20" i="3"/>
  <c r="G20" i="3"/>
  <c r="F20" i="3"/>
  <c r="E20" i="3"/>
  <c r="D20" i="3"/>
  <c r="C20" i="3"/>
  <c r="B20" i="3"/>
  <c r="AA19" i="3"/>
  <c r="S19" i="3"/>
  <c r="R19" i="3"/>
  <c r="Q19" i="3"/>
  <c r="P19" i="3"/>
  <c r="S18" i="3"/>
  <c r="P18" i="3"/>
  <c r="O18" i="3"/>
  <c r="R18" i="3" s="1"/>
  <c r="N18" i="3"/>
  <c r="AA18" i="3" s="1"/>
  <c r="Q17" i="3"/>
  <c r="P17" i="3"/>
  <c r="S17" i="3" s="1"/>
  <c r="O17" i="3"/>
  <c r="R17" i="3" s="1"/>
  <c r="N17" i="3"/>
  <c r="AA17" i="3" s="1"/>
  <c r="R16" i="3"/>
  <c r="P16" i="3"/>
  <c r="S16" i="3" s="1"/>
  <c r="O16" i="3"/>
  <c r="N16" i="3"/>
  <c r="AA16" i="3" s="1"/>
  <c r="Q15" i="3"/>
  <c r="P15" i="3"/>
  <c r="S15" i="3" s="1"/>
  <c r="O15" i="3"/>
  <c r="R15" i="3" s="1"/>
  <c r="N15" i="3"/>
  <c r="AA15" i="3" s="1"/>
  <c r="S14" i="3"/>
  <c r="P14" i="3"/>
  <c r="O14" i="3"/>
  <c r="R14" i="3" s="1"/>
  <c r="N14" i="3"/>
  <c r="AA14" i="3" s="1"/>
  <c r="Q13" i="3"/>
  <c r="P13" i="3"/>
  <c r="S13" i="3" s="1"/>
  <c r="O13" i="3"/>
  <c r="R13" i="3" s="1"/>
  <c r="N13" i="3"/>
  <c r="AA13" i="3" s="1"/>
  <c r="R12" i="3"/>
  <c r="P12" i="3"/>
  <c r="S12" i="3" s="1"/>
  <c r="O12" i="3"/>
  <c r="N12" i="3"/>
  <c r="Q11" i="3"/>
  <c r="P11" i="3"/>
  <c r="O11" i="3"/>
  <c r="N11" i="3"/>
  <c r="AA11" i="3" s="1"/>
  <c r="Z12" i="2"/>
  <c r="Y12" i="2"/>
  <c r="S12" i="2"/>
  <c r="R12" i="2"/>
  <c r="Q12" i="2"/>
  <c r="M12" i="2"/>
  <c r="L12" i="2"/>
  <c r="K12" i="2"/>
  <c r="U11" i="2"/>
  <c r="X11" i="2" s="1"/>
  <c r="P11" i="2"/>
  <c r="V11" i="2" s="1"/>
  <c r="O11" i="2"/>
  <c r="N11" i="2"/>
  <c r="T11" i="2" s="1"/>
  <c r="V10" i="2"/>
  <c r="T10" i="2"/>
  <c r="P10" i="2"/>
  <c r="O10" i="2"/>
  <c r="U10" i="2" s="1"/>
  <c r="N10" i="2"/>
  <c r="T9" i="2"/>
  <c r="P9" i="2"/>
  <c r="V9" i="2" s="1"/>
  <c r="O9" i="2"/>
  <c r="U9" i="2" s="1"/>
  <c r="X9" i="2" s="1"/>
  <c r="N9" i="2"/>
  <c r="J8" i="2"/>
  <c r="J12" i="2" s="1"/>
  <c r="I8" i="2"/>
  <c r="H8" i="2"/>
  <c r="G8" i="2"/>
  <c r="P8" i="2" s="1"/>
  <c r="V8" i="2" s="1"/>
  <c r="F8" i="2"/>
  <c r="E8" i="2"/>
  <c r="D8" i="2"/>
  <c r="C8" i="2"/>
  <c r="B8" i="2"/>
  <c r="I7" i="2"/>
  <c r="I12" i="2" s="1"/>
  <c r="H7" i="2"/>
  <c r="H12" i="2" s="1"/>
  <c r="G7" i="2"/>
  <c r="G12" i="2" s="1"/>
  <c r="F7" i="2"/>
  <c r="F12" i="2" s="1"/>
  <c r="E7" i="2"/>
  <c r="E12" i="2" s="1"/>
  <c r="D7" i="2"/>
  <c r="D12" i="2" s="1"/>
  <c r="C7" i="2"/>
  <c r="C12" i="2" s="1"/>
  <c r="B7" i="2"/>
  <c r="B12" i="2" s="1"/>
  <c r="AK38" i="1"/>
  <c r="AG38" i="1"/>
  <c r="AF38" i="1"/>
  <c r="AE38" i="1"/>
  <c r="Y38" i="1"/>
  <c r="X38" i="1"/>
  <c r="W38" i="1"/>
  <c r="S38" i="1"/>
  <c r="R38" i="1"/>
  <c r="Q38" i="1"/>
  <c r="M38" i="1"/>
  <c r="L38" i="1"/>
  <c r="K38" i="1"/>
  <c r="J38" i="1"/>
  <c r="I38" i="1"/>
  <c r="H38" i="1"/>
  <c r="G38" i="1"/>
  <c r="F38" i="1"/>
  <c r="E38" i="1"/>
  <c r="P37" i="1"/>
  <c r="V37" i="1" s="1"/>
  <c r="AB37" i="1" s="1"/>
  <c r="O37" i="1"/>
  <c r="U37" i="1" s="1"/>
  <c r="AA37" i="1" s="1"/>
  <c r="AC37" i="1" s="1"/>
  <c r="AL37" i="1" s="1"/>
  <c r="N37" i="1"/>
  <c r="T37" i="1" s="1"/>
  <c r="Z37" i="1" s="1"/>
  <c r="P36" i="1"/>
  <c r="V36" i="1" s="1"/>
  <c r="AB36" i="1" s="1"/>
  <c r="O36" i="1"/>
  <c r="U36" i="1" s="1"/>
  <c r="AA36" i="1" s="1"/>
  <c r="N36" i="1"/>
  <c r="T36" i="1" s="1"/>
  <c r="Z36" i="1" s="1"/>
  <c r="P35" i="1"/>
  <c r="V35" i="1" s="1"/>
  <c r="AB35" i="1" s="1"/>
  <c r="O35" i="1"/>
  <c r="U35" i="1" s="1"/>
  <c r="AA35" i="1" s="1"/>
  <c r="AC35" i="1" s="1"/>
  <c r="AL35" i="1" s="1"/>
  <c r="N35" i="1"/>
  <c r="T35" i="1" s="1"/>
  <c r="Z35" i="1" s="1"/>
  <c r="T34" i="1"/>
  <c r="P34" i="1"/>
  <c r="V34" i="1" s="1"/>
  <c r="AB34" i="1" s="1"/>
  <c r="AM34" i="1" s="1"/>
  <c r="O34" i="1"/>
  <c r="U34" i="1" s="1"/>
  <c r="AA34" i="1" s="1"/>
  <c r="AC34" i="1" s="1"/>
  <c r="AL34" i="1" s="1"/>
  <c r="N34" i="1"/>
  <c r="T33" i="1"/>
  <c r="Z33" i="1" s="1"/>
  <c r="P33" i="1"/>
  <c r="V33" i="1" s="1"/>
  <c r="AB33" i="1" s="1"/>
  <c r="O33" i="1"/>
  <c r="U33" i="1" s="1"/>
  <c r="AA33" i="1" s="1"/>
  <c r="N33" i="1"/>
  <c r="P32" i="1"/>
  <c r="V32" i="1" s="1"/>
  <c r="AB32" i="1" s="1"/>
  <c r="O32" i="1"/>
  <c r="U32" i="1" s="1"/>
  <c r="AA32" i="1" s="1"/>
  <c r="N32" i="1"/>
  <c r="T32" i="1" s="1"/>
  <c r="Z32" i="1" s="1"/>
  <c r="P31" i="1"/>
  <c r="V31" i="1" s="1"/>
  <c r="AB31" i="1" s="1"/>
  <c r="O31" i="1"/>
  <c r="U31" i="1" s="1"/>
  <c r="AA31" i="1" s="1"/>
  <c r="AC31" i="1" s="1"/>
  <c r="AL31" i="1" s="1"/>
  <c r="N31" i="1"/>
  <c r="T31" i="1" s="1"/>
  <c r="Z31" i="1" s="1"/>
  <c r="T30" i="1"/>
  <c r="Z30" i="1" s="1"/>
  <c r="P30" i="1"/>
  <c r="V30" i="1" s="1"/>
  <c r="AB30" i="1" s="1"/>
  <c r="AM30" i="1" s="1"/>
  <c r="O30" i="1"/>
  <c r="U30" i="1" s="1"/>
  <c r="AA30" i="1" s="1"/>
  <c r="N30" i="1"/>
  <c r="P29" i="1"/>
  <c r="V29" i="1" s="1"/>
  <c r="AB29" i="1" s="1"/>
  <c r="O29" i="1"/>
  <c r="U29" i="1" s="1"/>
  <c r="AA29" i="1" s="1"/>
  <c r="AC29" i="1" s="1"/>
  <c r="AL29" i="1" s="1"/>
  <c r="N29" i="1"/>
  <c r="T29" i="1" s="1"/>
  <c r="Z29" i="1" s="1"/>
  <c r="P28" i="1"/>
  <c r="V28" i="1" s="1"/>
  <c r="AB28" i="1" s="1"/>
  <c r="O28" i="1"/>
  <c r="U28" i="1" s="1"/>
  <c r="AA28" i="1" s="1"/>
  <c r="AC28" i="1" s="1"/>
  <c r="AL28" i="1" s="1"/>
  <c r="N28" i="1"/>
  <c r="T28" i="1" s="1"/>
  <c r="Z28" i="1" s="1"/>
  <c r="P27" i="1"/>
  <c r="V27" i="1" s="1"/>
  <c r="AB27" i="1" s="1"/>
  <c r="O27" i="1"/>
  <c r="U27" i="1" s="1"/>
  <c r="AA27" i="1" s="1"/>
  <c r="AC27" i="1" s="1"/>
  <c r="AL27" i="1" s="1"/>
  <c r="N27" i="1"/>
  <c r="T27" i="1" s="1"/>
  <c r="Z27" i="1" s="1"/>
  <c r="T26" i="1"/>
  <c r="Z26" i="1" s="1"/>
  <c r="P26" i="1"/>
  <c r="V26" i="1" s="1"/>
  <c r="AB26" i="1" s="1"/>
  <c r="AM26" i="1" s="1"/>
  <c r="O26" i="1"/>
  <c r="U26" i="1" s="1"/>
  <c r="AA26" i="1" s="1"/>
  <c r="N26" i="1"/>
  <c r="P25" i="1"/>
  <c r="V25" i="1" s="1"/>
  <c r="AB25" i="1" s="1"/>
  <c r="O25" i="1"/>
  <c r="U25" i="1" s="1"/>
  <c r="AA25" i="1" s="1"/>
  <c r="N25" i="1"/>
  <c r="T25" i="1" s="1"/>
  <c r="Z25" i="1" s="1"/>
  <c r="P24" i="1"/>
  <c r="V24" i="1" s="1"/>
  <c r="AB24" i="1" s="1"/>
  <c r="O24" i="1"/>
  <c r="U24" i="1" s="1"/>
  <c r="AA24" i="1" s="1"/>
  <c r="AD24" i="1" s="1"/>
  <c r="N24" i="1"/>
  <c r="T24" i="1" s="1"/>
  <c r="Z24" i="1" s="1"/>
  <c r="AI23" i="1"/>
  <c r="D23" i="1"/>
  <c r="P23" i="1" s="1"/>
  <c r="V23" i="1" s="1"/>
  <c r="AB23" i="1" s="1"/>
  <c r="C23" i="1"/>
  <c r="O23" i="1" s="1"/>
  <c r="U23" i="1" s="1"/>
  <c r="AA23" i="1" s="1"/>
  <c r="AC23" i="1" s="1"/>
  <c r="AL23" i="1" s="1"/>
  <c r="B23" i="1"/>
  <c r="N23" i="1" s="1"/>
  <c r="T23" i="1" s="1"/>
  <c r="Z23" i="1" s="1"/>
  <c r="AM23" i="1" s="1"/>
  <c r="AI22" i="1"/>
  <c r="D22" i="1"/>
  <c r="P22" i="1" s="1"/>
  <c r="V22" i="1" s="1"/>
  <c r="AB22" i="1" s="1"/>
  <c r="C22" i="1"/>
  <c r="O22" i="1" s="1"/>
  <c r="U22" i="1" s="1"/>
  <c r="AA22" i="1" s="1"/>
  <c r="B22" i="1"/>
  <c r="N22" i="1" s="1"/>
  <c r="T22" i="1" s="1"/>
  <c r="Z22" i="1" s="1"/>
  <c r="AH21" i="1"/>
  <c r="AI21" i="1" s="1"/>
  <c r="AB21" i="1"/>
  <c r="N21" i="1"/>
  <c r="T21" i="1" s="1"/>
  <c r="Z21" i="1" s="1"/>
  <c r="D21" i="1"/>
  <c r="P21" i="1" s="1"/>
  <c r="V21" i="1" s="1"/>
  <c r="C21" i="1"/>
  <c r="O21" i="1" s="1"/>
  <c r="U21" i="1" s="1"/>
  <c r="AA21" i="1" s="1"/>
  <c r="AC21" i="1" s="1"/>
  <c r="AL21" i="1" s="1"/>
  <c r="B21" i="1"/>
  <c r="AI20" i="1"/>
  <c r="T20" i="1"/>
  <c r="Z20" i="1" s="1"/>
  <c r="P20" i="1"/>
  <c r="V20" i="1" s="1"/>
  <c r="AB20" i="1" s="1"/>
  <c r="O20" i="1"/>
  <c r="U20" i="1" s="1"/>
  <c r="AA20" i="1" s="1"/>
  <c r="N20" i="1"/>
  <c r="AI19" i="1"/>
  <c r="P19" i="1"/>
  <c r="V19" i="1" s="1"/>
  <c r="AB19" i="1" s="1"/>
  <c r="AM19" i="1" s="1"/>
  <c r="O19" i="1"/>
  <c r="U19" i="1" s="1"/>
  <c r="AA19" i="1" s="1"/>
  <c r="N19" i="1"/>
  <c r="T19" i="1" s="1"/>
  <c r="Z19" i="1" s="1"/>
  <c r="AI18" i="1"/>
  <c r="T18" i="1"/>
  <c r="Z18" i="1" s="1"/>
  <c r="P18" i="1"/>
  <c r="V18" i="1" s="1"/>
  <c r="AB18" i="1" s="1"/>
  <c r="O18" i="1"/>
  <c r="U18" i="1" s="1"/>
  <c r="AA18" i="1" s="1"/>
  <c r="N18" i="1"/>
  <c r="AI17" i="1"/>
  <c r="P17" i="1"/>
  <c r="V17" i="1" s="1"/>
  <c r="AB17" i="1" s="1"/>
  <c r="O17" i="1"/>
  <c r="U17" i="1" s="1"/>
  <c r="AA17" i="1" s="1"/>
  <c r="N17" i="1"/>
  <c r="T17" i="1" s="1"/>
  <c r="Z17" i="1" s="1"/>
  <c r="AI16" i="1"/>
  <c r="D16" i="1"/>
  <c r="P16" i="1" s="1"/>
  <c r="V16" i="1" s="1"/>
  <c r="AB16" i="1" s="1"/>
  <c r="C16" i="1"/>
  <c r="O16" i="1" s="1"/>
  <c r="U16" i="1" s="1"/>
  <c r="AA16" i="1" s="1"/>
  <c r="B16" i="1"/>
  <c r="N16" i="1" s="1"/>
  <c r="T16" i="1" s="1"/>
  <c r="Z16" i="1" s="1"/>
  <c r="AI15" i="1"/>
  <c r="D15" i="1"/>
  <c r="P15" i="1" s="1"/>
  <c r="V15" i="1" s="1"/>
  <c r="AB15" i="1" s="1"/>
  <c r="C15" i="1"/>
  <c r="O15" i="1" s="1"/>
  <c r="U15" i="1" s="1"/>
  <c r="AA15" i="1" s="1"/>
  <c r="B15" i="1"/>
  <c r="N15" i="1" s="1"/>
  <c r="T15" i="1" s="1"/>
  <c r="Z15" i="1" s="1"/>
  <c r="AH14" i="1"/>
  <c r="AI14" i="1" s="1"/>
  <c r="Z14" i="1"/>
  <c r="D14" i="1"/>
  <c r="P14" i="1" s="1"/>
  <c r="V14" i="1" s="1"/>
  <c r="AB14" i="1" s="1"/>
  <c r="C14" i="1"/>
  <c r="O14" i="1" s="1"/>
  <c r="U14" i="1" s="1"/>
  <c r="AA14" i="1" s="1"/>
  <c r="AC14" i="1" s="1"/>
  <c r="AL14" i="1" s="1"/>
  <c r="B14" i="1"/>
  <c r="N14" i="1" s="1"/>
  <c r="T14" i="1" s="1"/>
  <c r="AI13" i="1"/>
  <c r="P13" i="1"/>
  <c r="V13" i="1" s="1"/>
  <c r="AB13" i="1" s="1"/>
  <c r="O13" i="1"/>
  <c r="U13" i="1" s="1"/>
  <c r="AA13" i="1" s="1"/>
  <c r="D13" i="1"/>
  <c r="C13" i="1"/>
  <c r="B13" i="1"/>
  <c r="N13" i="1" s="1"/>
  <c r="T13" i="1" s="1"/>
  <c r="Z13" i="1" s="1"/>
  <c r="AH12" i="1"/>
  <c r="D12" i="1"/>
  <c r="P12" i="1" s="1"/>
  <c r="V12" i="1" s="1"/>
  <c r="AB12" i="1" s="1"/>
  <c r="C12" i="1"/>
  <c r="O12" i="1" s="1"/>
  <c r="U12" i="1" s="1"/>
  <c r="AA12" i="1" s="1"/>
  <c r="B12" i="1"/>
  <c r="N12" i="1" s="1"/>
  <c r="T12" i="1" s="1"/>
  <c r="Z12" i="1" s="1"/>
  <c r="AH11" i="1"/>
  <c r="AI11" i="1" s="1"/>
  <c r="O11" i="1"/>
  <c r="U11" i="1" s="1"/>
  <c r="AA11" i="1" s="1"/>
  <c r="N11" i="1"/>
  <c r="T11" i="1" s="1"/>
  <c r="Z11" i="1" s="1"/>
  <c r="D11" i="1"/>
  <c r="P11" i="1" s="1"/>
  <c r="V11" i="1" s="1"/>
  <c r="AB11" i="1" s="1"/>
  <c r="C11" i="1"/>
  <c r="B11" i="1"/>
  <c r="AI10" i="1"/>
  <c r="AB10" i="1"/>
  <c r="D10" i="1"/>
  <c r="P10" i="1" s="1"/>
  <c r="V10" i="1" s="1"/>
  <c r="C10" i="1"/>
  <c r="O10" i="1" s="1"/>
  <c r="U10" i="1" s="1"/>
  <c r="AA10" i="1" s="1"/>
  <c r="B10" i="1"/>
  <c r="N10" i="1" s="1"/>
  <c r="T10" i="1" s="1"/>
  <c r="Z10" i="1" s="1"/>
  <c r="AH9" i="1"/>
  <c r="AI9" i="1" s="1"/>
  <c r="O9" i="1"/>
  <c r="U9" i="1" s="1"/>
  <c r="AA9" i="1" s="1"/>
  <c r="D9" i="1"/>
  <c r="P9" i="1" s="1"/>
  <c r="V9" i="1" s="1"/>
  <c r="AB9" i="1" s="1"/>
  <c r="C9" i="1"/>
  <c r="B9" i="1"/>
  <c r="N9" i="1" s="1"/>
  <c r="T9" i="1" s="1"/>
  <c r="Z9" i="1" s="1"/>
  <c r="AJ8" i="1"/>
  <c r="AJ38" i="1" s="1"/>
  <c r="AI8" i="1"/>
  <c r="D8" i="1"/>
  <c r="P8" i="1" s="1"/>
  <c r="V8" i="1" s="1"/>
  <c r="AB8" i="1" s="1"/>
  <c r="C8" i="1"/>
  <c r="O8" i="1" s="1"/>
  <c r="U8" i="1" s="1"/>
  <c r="AA8" i="1" s="1"/>
  <c r="B8" i="1"/>
  <c r="AI7" i="1"/>
  <c r="Z7" i="1"/>
  <c r="D7" i="1"/>
  <c r="P7" i="1" s="1"/>
  <c r="V7" i="1" s="1"/>
  <c r="AB7" i="1" s="1"/>
  <c r="C7" i="1"/>
  <c r="O7" i="1" s="1"/>
  <c r="U7" i="1" s="1"/>
  <c r="AA7" i="1" s="1"/>
  <c r="AC7" i="1" s="1"/>
  <c r="AL7" i="1" s="1"/>
  <c r="B7" i="1"/>
  <c r="N7" i="1" s="1"/>
  <c r="T7" i="1" s="1"/>
  <c r="P6" i="1"/>
  <c r="V6" i="1" s="1"/>
  <c r="O6" i="1"/>
  <c r="U6" i="1" s="1"/>
  <c r="N6" i="1"/>
  <c r="T6" i="1" s="1"/>
  <c r="AB31" i="8" l="1"/>
  <c r="V31" i="8"/>
  <c r="AA7" i="8"/>
  <c r="U31" i="8"/>
  <c r="AG25" i="7"/>
  <c r="AG38" i="7" s="1"/>
  <c r="AC38" i="7"/>
  <c r="AB15" i="5"/>
  <c r="O15" i="5"/>
  <c r="U15" i="5" s="1"/>
  <c r="AC12" i="5"/>
  <c r="AI12" i="5" s="1"/>
  <c r="P15" i="5"/>
  <c r="V15" i="5" s="1"/>
  <c r="AA15" i="5"/>
  <c r="AC6" i="5"/>
  <c r="Y8" i="4"/>
  <c r="X8" i="4"/>
  <c r="X14" i="4" s="1"/>
  <c r="U25" i="4"/>
  <c r="Y14" i="4"/>
  <c r="R14" i="4"/>
  <c r="T29" i="3"/>
  <c r="T26" i="3"/>
  <c r="T27" i="3"/>
  <c r="T31" i="3"/>
  <c r="T13" i="3"/>
  <c r="Y13" i="3" s="1"/>
  <c r="T14" i="3"/>
  <c r="Y14" i="3" s="1"/>
  <c r="T17" i="3"/>
  <c r="Y17" i="3" s="1"/>
  <c r="T18" i="3"/>
  <c r="Y18" i="3" s="1"/>
  <c r="T28" i="3"/>
  <c r="T32" i="3"/>
  <c r="Q33" i="3"/>
  <c r="T30" i="3"/>
  <c r="O20" i="3"/>
  <c r="N20" i="3"/>
  <c r="AA20" i="3" s="1"/>
  <c r="P20" i="3"/>
  <c r="T19" i="3"/>
  <c r="Y19" i="3" s="1"/>
  <c r="T12" i="3"/>
  <c r="Y12" i="3" s="1"/>
  <c r="T16" i="3"/>
  <c r="Y16" i="3" s="1"/>
  <c r="R33" i="3"/>
  <c r="Z15" i="3"/>
  <c r="Z13" i="3"/>
  <c r="T15" i="3"/>
  <c r="Y15" i="3" s="1"/>
  <c r="Z17" i="3"/>
  <c r="S11" i="3"/>
  <c r="S20" i="3" s="1"/>
  <c r="Q12" i="3"/>
  <c r="Q14" i="3"/>
  <c r="Z14" i="3" s="1"/>
  <c r="Q16" i="3"/>
  <c r="Z16" i="3" s="1"/>
  <c r="Q18" i="3"/>
  <c r="Z18" i="3" s="1"/>
  <c r="S25" i="3"/>
  <c r="AA12" i="3"/>
  <c r="R11" i="3"/>
  <c r="N8" i="2"/>
  <c r="T8" i="2" s="1"/>
  <c r="W9" i="2"/>
  <c r="AA9" i="2" s="1"/>
  <c r="O8" i="2"/>
  <c r="U8" i="2" s="1"/>
  <c r="W8" i="2" s="1"/>
  <c r="AA8" i="2" s="1"/>
  <c r="X10" i="2"/>
  <c r="X12" i="2" s="1"/>
  <c r="W10" i="2"/>
  <c r="AA10" i="2" s="1"/>
  <c r="N7" i="2"/>
  <c r="O7" i="2"/>
  <c r="W11" i="2"/>
  <c r="AA11" i="2" s="1"/>
  <c r="P7" i="2"/>
  <c r="AC22" i="1"/>
  <c r="AL22" i="1" s="1"/>
  <c r="AM21" i="1"/>
  <c r="AM33" i="1"/>
  <c r="AC18" i="1"/>
  <c r="AL18" i="1" s="1"/>
  <c r="AM22" i="1"/>
  <c r="AM27" i="1"/>
  <c r="AM28" i="1"/>
  <c r="AM29" i="1"/>
  <c r="AM31" i="1"/>
  <c r="AC36" i="1"/>
  <c r="AL36" i="1" s="1"/>
  <c r="AM16" i="1"/>
  <c r="AC19" i="1"/>
  <c r="AL19" i="1" s="1"/>
  <c r="AM11" i="1"/>
  <c r="AC15" i="1"/>
  <c r="AL15" i="1" s="1"/>
  <c r="AM7" i="1"/>
  <c r="AH38" i="1"/>
  <c r="AM15" i="1"/>
  <c r="AM35" i="1"/>
  <c r="AC8" i="1"/>
  <c r="AL8" i="1" s="1"/>
  <c r="AC13" i="1"/>
  <c r="AL13" i="1" s="1"/>
  <c r="AM9" i="1"/>
  <c r="AM14" i="1"/>
  <c r="AM20" i="1"/>
  <c r="AC33" i="1"/>
  <c r="AL33" i="1" s="1"/>
  <c r="U38" i="1"/>
  <c r="AA6" i="1"/>
  <c r="AI12" i="1"/>
  <c r="N8" i="1"/>
  <c r="T8" i="1" s="1"/>
  <c r="Z8" i="1" s="1"/>
  <c r="AM8" i="1" s="1"/>
  <c r="B38" i="1"/>
  <c r="N38" i="1" s="1"/>
  <c r="AC9" i="1"/>
  <c r="AL9" i="1" s="1"/>
  <c r="AM13" i="1"/>
  <c r="AC16" i="1"/>
  <c r="AL16" i="1" s="1"/>
  <c r="T38" i="1"/>
  <c r="Z6" i="1"/>
  <c r="V38" i="1"/>
  <c r="AB38" i="1" s="1"/>
  <c r="AB6" i="1"/>
  <c r="AC11" i="1"/>
  <c r="AL11" i="1" s="1"/>
  <c r="AM12" i="1"/>
  <c r="AC17" i="1"/>
  <c r="AD17" i="1"/>
  <c r="AM17" i="1" s="1"/>
  <c r="AD25" i="1"/>
  <c r="AM25" i="1" s="1"/>
  <c r="AC25" i="1"/>
  <c r="AC32" i="1"/>
  <c r="AD32" i="1"/>
  <c r="AM10" i="1"/>
  <c r="AC12" i="1"/>
  <c r="AL12" i="1" s="1"/>
  <c r="C38" i="1"/>
  <c r="O38" i="1" s="1"/>
  <c r="AC10" i="1"/>
  <c r="AL10" i="1" s="1"/>
  <c r="AC20" i="1"/>
  <c r="AL20" i="1" s="1"/>
  <c r="AM37" i="1"/>
  <c r="AC26" i="1"/>
  <c r="AL26" i="1" s="1"/>
  <c r="AC30" i="1"/>
  <c r="AL30" i="1" s="1"/>
  <c r="AC24" i="1"/>
  <c r="AL24" i="1" s="1"/>
  <c r="AM24" i="1"/>
  <c r="AM36" i="1"/>
  <c r="D38" i="1"/>
  <c r="P38" i="1" s="1"/>
  <c r="AI38" i="1"/>
  <c r="AM18" i="1"/>
  <c r="AA31" i="8" l="1"/>
  <c r="AC7" i="8"/>
  <c r="AC15" i="5"/>
  <c r="AI6" i="5"/>
  <c r="AI15" i="5" s="1"/>
  <c r="Z11" i="3"/>
  <c r="T25" i="3"/>
  <c r="T33" i="3" s="1"/>
  <c r="S33" i="3"/>
  <c r="Q20" i="3"/>
  <c r="Z12" i="3"/>
  <c r="Z20" i="3"/>
  <c r="R20" i="3"/>
  <c r="T11" i="3"/>
  <c r="P12" i="2"/>
  <c r="V7" i="2"/>
  <c r="V12" i="2" s="1"/>
  <c r="O12" i="2"/>
  <c r="U7" i="2"/>
  <c r="T7" i="2"/>
  <c r="T12" i="2" s="1"/>
  <c r="N12" i="2"/>
  <c r="AL25" i="1"/>
  <c r="AL32" i="1"/>
  <c r="AL17" i="1"/>
  <c r="Z38" i="1"/>
  <c r="AM32" i="1"/>
  <c r="AA38" i="1"/>
  <c r="AC38" i="1" s="1"/>
  <c r="AC6" i="1"/>
  <c r="AD6" i="1"/>
  <c r="AM6" i="1" s="1"/>
  <c r="AM38" i="1" s="1"/>
  <c r="AC31" i="8" l="1"/>
  <c r="AI31" i="8" s="1"/>
  <c r="AI7" i="8"/>
  <c r="Y11" i="3"/>
  <c r="Y20" i="3" s="1"/>
  <c r="T20" i="3"/>
  <c r="U12" i="2"/>
  <c r="W12" i="2" s="1"/>
  <c r="W7" i="2"/>
  <c r="AA7" i="2" s="1"/>
  <c r="AA12" i="2" s="1"/>
  <c r="AL6" i="1"/>
  <c r="AL38" i="1" s="1"/>
  <c r="AD38" i="1"/>
</calcChain>
</file>

<file path=xl/sharedStrings.xml><?xml version="1.0" encoding="utf-8"?>
<sst xmlns="http://schemas.openxmlformats.org/spreadsheetml/2006/main" count="857" uniqueCount="347">
  <si>
    <t>КРИВКО</t>
  </si>
  <si>
    <t>содержание</t>
  </si>
  <si>
    <t>Расходы, уменьшающие остаток средств по дому</t>
  </si>
  <si>
    <t xml:space="preserve">оплата задолженности перед РСО (отопление) </t>
  </si>
  <si>
    <t>оплата задолженности перед РСО (цессия) лсс</t>
  </si>
  <si>
    <t>оплата задолженности перед РСО (цессия) газпром</t>
  </si>
  <si>
    <t>госпошлина</t>
  </si>
  <si>
    <t>услуги банка</t>
  </si>
  <si>
    <t>начислено</t>
  </si>
  <si>
    <t>оплачено</t>
  </si>
  <si>
    <t>затраты</t>
  </si>
  <si>
    <t>Песочная д-4</t>
  </si>
  <si>
    <t>Урожайная д-3</t>
  </si>
  <si>
    <t>Урожайная д-3а</t>
  </si>
  <si>
    <t>Урожайная д-5</t>
  </si>
  <si>
    <t>Урожайная -5а</t>
  </si>
  <si>
    <t>Урожайная д-7</t>
  </si>
  <si>
    <t>Урожайная д-9</t>
  </si>
  <si>
    <t>Урожайная д-11</t>
  </si>
  <si>
    <t>Урожайная д-13</t>
  </si>
  <si>
    <t>Урожайная д-15</t>
  </si>
  <si>
    <t>Урожайная д-17</t>
  </si>
  <si>
    <t>Урожайная д-23</t>
  </si>
  <si>
    <t>Урожайная д-24</t>
  </si>
  <si>
    <t>Урожайная д-27</t>
  </si>
  <si>
    <t>Фестивальная -2</t>
  </si>
  <si>
    <t>Фестивальная -3</t>
  </si>
  <si>
    <t>Фестивальная -3а</t>
  </si>
  <si>
    <t>Фестивальная -3б</t>
  </si>
  <si>
    <t>Фестивальная -4</t>
  </si>
  <si>
    <t>Фестивальная -9</t>
  </si>
  <si>
    <t>Фестивальная -10</t>
  </si>
  <si>
    <t>Фестивальная -10а</t>
  </si>
  <si>
    <t>Фестивальная -12</t>
  </si>
  <si>
    <t>Фестивальная -14</t>
  </si>
  <si>
    <t>Фестивальная -16</t>
  </si>
  <si>
    <t>Фестивальная -18</t>
  </si>
  <si>
    <t>Фестивальная -22</t>
  </si>
  <si>
    <t>Фестивальная -25</t>
  </si>
  <si>
    <t>Фестивальная -27</t>
  </si>
  <si>
    <t xml:space="preserve">Фестивальная -29 </t>
  </si>
  <si>
    <t>Фестивальная -29а</t>
  </si>
  <si>
    <t>Фестивальная -36</t>
  </si>
  <si>
    <t>ИТОГО</t>
  </si>
  <si>
    <t>Адрес</t>
  </si>
  <si>
    <t xml:space="preserve"> налог на прибыль 2016-2019гг</t>
  </si>
  <si>
    <t xml:space="preserve">ИТОГО оплата задолженности перед РСО </t>
  </si>
  <si>
    <t>услуги банка 2016-2019гг</t>
  </si>
  <si>
    <t>Итого от начисленного</t>
  </si>
  <si>
    <t>Содержание+текущий ремонт</t>
  </si>
  <si>
    <t>Расходы,уменьшающие остаток средств по дому</t>
  </si>
  <si>
    <t>услуги  банка</t>
  </si>
  <si>
    <t>Центральная 104</t>
  </si>
  <si>
    <t>Центральная 103</t>
  </si>
  <si>
    <t>Центральная 2</t>
  </si>
  <si>
    <t>Центральная 3</t>
  </si>
  <si>
    <t>СОЛОВЬЕВКА-ВЕСНИНО</t>
  </si>
  <si>
    <t>Горбунки</t>
  </si>
  <si>
    <t xml:space="preserve"> услуги банка</t>
  </si>
  <si>
    <t>д.14/1</t>
  </si>
  <si>
    <t>д.14/2</t>
  </si>
  <si>
    <t>д.14/3</t>
  </si>
  <si>
    <t>д.18</t>
  </si>
  <si>
    <t>д.19</t>
  </si>
  <si>
    <t>д.20</t>
  </si>
  <si>
    <t>д.22</t>
  </si>
  <si>
    <t>д.34</t>
  </si>
  <si>
    <t>Остаток по дому</t>
  </si>
  <si>
    <t>ГОРБУНКИ</t>
  </si>
  <si>
    <t xml:space="preserve">2020г </t>
  </si>
  <si>
    <t>2020г</t>
  </si>
  <si>
    <t>налог</t>
  </si>
  <si>
    <t>д.47</t>
  </si>
  <si>
    <t>Разбегаево</t>
  </si>
  <si>
    <t>д.45</t>
  </si>
  <si>
    <t>д.49</t>
  </si>
  <si>
    <t>д.51</t>
  </si>
  <si>
    <t>д.53</t>
  </si>
  <si>
    <t>д.55</t>
  </si>
  <si>
    <t>РАЗБЕГАЕВО</t>
  </si>
  <si>
    <t>приб</t>
  </si>
  <si>
    <t>Ленинградская д.7</t>
  </si>
  <si>
    <t>Ленинградская д.9</t>
  </si>
  <si>
    <t>Связи д.7</t>
  </si>
  <si>
    <t>Связи д.9</t>
  </si>
  <si>
    <t>Связи д.11</t>
  </si>
  <si>
    <t>Связи д.13</t>
  </si>
  <si>
    <t>Строителей 13</t>
  </si>
  <si>
    <t xml:space="preserve">Типографский пер.д.11 </t>
  </si>
  <si>
    <t>Никитина д.8</t>
  </si>
  <si>
    <t>Сосново</t>
  </si>
  <si>
    <t>ИТОГО остаток по дому</t>
  </si>
  <si>
    <t xml:space="preserve">ИТОГО 2016-2019 </t>
  </si>
  <si>
    <t xml:space="preserve">оплата задолженности перед РСО (вода стоки) </t>
  </si>
  <si>
    <t>Майская д-1</t>
  </si>
  <si>
    <t>Майская д-3</t>
  </si>
  <si>
    <t>Майская д-5</t>
  </si>
  <si>
    <t>Набережная д- 4</t>
  </si>
  <si>
    <t>Набережная д- 6</t>
  </si>
  <si>
    <t>Набережная д- 8</t>
  </si>
  <si>
    <t>Набережная д- 10</t>
  </si>
  <si>
    <t>Центральная д- 17а</t>
  </si>
  <si>
    <t>Центральная д- 19а</t>
  </si>
  <si>
    <t>Школьная д-5а</t>
  </si>
  <si>
    <t>Школьная д-7а</t>
  </si>
  <si>
    <t>Школьная д-9а</t>
  </si>
  <si>
    <t>Школьная д-19</t>
  </si>
  <si>
    <t>Итого</t>
  </si>
  <si>
    <t>Снегиревка</t>
  </si>
  <si>
    <t>Гагарина д-1</t>
  </si>
  <si>
    <t>Гагарина д-3</t>
  </si>
  <si>
    <t>Гагарина д-5</t>
  </si>
  <si>
    <t>Гагарина д-6</t>
  </si>
  <si>
    <t>Гагарина д-8</t>
  </si>
  <si>
    <t>Гагарина д- 10</t>
  </si>
  <si>
    <t>Гагарина д-16</t>
  </si>
  <si>
    <t>Горького д-4</t>
  </si>
  <si>
    <t>Горького д-20а</t>
  </si>
  <si>
    <t>Луговая д-12</t>
  </si>
  <si>
    <t>Набережная д- 12</t>
  </si>
  <si>
    <t>Набережная д- 14</t>
  </si>
  <si>
    <t>Набережная д- 18</t>
  </si>
  <si>
    <t>Набережная д- 33</t>
  </si>
  <si>
    <t>Набережная д- 35</t>
  </si>
  <si>
    <t>Центральная д- 12а</t>
  </si>
  <si>
    <t>Центральная д- 25</t>
  </si>
  <si>
    <t>Центральная д- 27</t>
  </si>
  <si>
    <t>Школьная д-6</t>
  </si>
  <si>
    <t>Школьная д-8</t>
  </si>
  <si>
    <t>Школьная д-12</t>
  </si>
  <si>
    <t>Школьная д-30</t>
  </si>
  <si>
    <t>год</t>
  </si>
  <si>
    <t>Петровское</t>
  </si>
  <si>
    <t>Ул.Шоссейная д.15</t>
  </si>
  <si>
    <t>Ул.Шоссейная д.17</t>
  </si>
  <si>
    <t>Ул.Шоссейная д.18</t>
  </si>
  <si>
    <t>Ул.Шоссейная д.19</t>
  </si>
  <si>
    <t>Ул.Шоссейная д.20</t>
  </si>
  <si>
    <t>Ул.Шоссейная д.21</t>
  </si>
  <si>
    <t>Ул.Шоссейная д.27</t>
  </si>
  <si>
    <t>Ул.Шоссейная д.28</t>
  </si>
  <si>
    <t>Ул.Шоссейная д.29</t>
  </si>
  <si>
    <t>Ул.Шоссейная д.30</t>
  </si>
  <si>
    <t>Ул.Шоссейная д.31</t>
  </si>
  <si>
    <t>Ул.Шоссейная д.32</t>
  </si>
  <si>
    <t>Ул.Шоссейная д.33</t>
  </si>
  <si>
    <t>Ул.Шоссейная д.34</t>
  </si>
  <si>
    <t>Ул.Шоссейная д.35</t>
  </si>
  <si>
    <t>Ул.Шоссейная д.36</t>
  </si>
  <si>
    <t>Ул.Шоссейная д.37</t>
  </si>
  <si>
    <t>Ул.Шоссейная д.38</t>
  </si>
  <si>
    <t>Выборгское шоссе ,26</t>
  </si>
  <si>
    <t>Итого:</t>
  </si>
  <si>
    <t>ПЕТРОВСКОЕ</t>
  </si>
  <si>
    <t>Плодовое</t>
  </si>
  <si>
    <t>Центральная д-1</t>
  </si>
  <si>
    <t>Центральная д-2</t>
  </si>
  <si>
    <t>Центральная д-3</t>
  </si>
  <si>
    <t>Центральная д-4</t>
  </si>
  <si>
    <t>Центральная д-5</t>
  </si>
  <si>
    <t>Центральная д-6</t>
  </si>
  <si>
    <t>Центральная д-7</t>
  </si>
  <si>
    <t>Центральная д-8</t>
  </si>
  <si>
    <t>Центральная д-9</t>
  </si>
  <si>
    <t>Центральная д-10</t>
  </si>
  <si>
    <t>Центральная д-15</t>
  </si>
  <si>
    <t>Центральная д-16</t>
  </si>
  <si>
    <t>Школьная д-11</t>
  </si>
  <si>
    <t>Школьная д-13</t>
  </si>
  <si>
    <t>Школьная д-14</t>
  </si>
  <si>
    <t>Зеленая д-17</t>
  </si>
  <si>
    <t>Зеленая д-19</t>
  </si>
  <si>
    <t>Зеленая д-21</t>
  </si>
  <si>
    <t>Парковая д-4</t>
  </si>
  <si>
    <t>Парковая д-6</t>
  </si>
  <si>
    <t>Парковая д-8</t>
  </si>
  <si>
    <t>Парковая д-4а</t>
  </si>
  <si>
    <t xml:space="preserve">Парковая д-10 </t>
  </si>
  <si>
    <t xml:space="preserve">Итого </t>
  </si>
  <si>
    <t>Механизаторов д-1</t>
  </si>
  <si>
    <t>Механизаторов д-2</t>
  </si>
  <si>
    <t>Механизаторов д-2а</t>
  </si>
  <si>
    <t>Механизаторов д-3</t>
  </si>
  <si>
    <t>Механизаторов д-3а</t>
  </si>
  <si>
    <t>Механизаторов д-18</t>
  </si>
  <si>
    <t>Механизаторов д-19</t>
  </si>
  <si>
    <t>Механизаторов д-19а</t>
  </si>
  <si>
    <t>Итого по Тракторному</t>
  </si>
  <si>
    <t>Тракторное</t>
  </si>
  <si>
    <t>Ромашки</t>
  </si>
  <si>
    <t>Новостроек д-1</t>
  </si>
  <si>
    <t>Новостроек д-2</t>
  </si>
  <si>
    <t>Новостроек д-3</t>
  </si>
  <si>
    <t>Новостроек д-4</t>
  </si>
  <si>
    <t>Новостроек д-5</t>
  </si>
  <si>
    <t>Новостроек д-6</t>
  </si>
  <si>
    <t>Новостроек д-7</t>
  </si>
  <si>
    <t>Новостроек д-8</t>
  </si>
  <si>
    <t>Новостроек д-9</t>
  </si>
  <si>
    <t>Новостроек д-10</t>
  </si>
  <si>
    <t>Ногирская  д-5</t>
  </si>
  <si>
    <t>Ногирская  д-6</t>
  </si>
  <si>
    <t>Ногирская  д-32</t>
  </si>
  <si>
    <t>Ногирская  д-33</t>
  </si>
  <si>
    <t>РОМАШКИ</t>
  </si>
  <si>
    <t>Молодежная д-1</t>
  </si>
  <si>
    <t>Молодежная д-2</t>
  </si>
  <si>
    <t>Молодежная д-3</t>
  </si>
  <si>
    <t>Молодежная д-4</t>
  </si>
  <si>
    <t>Молодежная д-6</t>
  </si>
  <si>
    <t>Молодежная д-7</t>
  </si>
  <si>
    <t>Молодежная д-8</t>
  </si>
  <si>
    <t>Молодежная д-12</t>
  </si>
  <si>
    <t>Понтонное</t>
  </si>
  <si>
    <t>Ручейковая д-7</t>
  </si>
  <si>
    <t>Ручейковая д-8</t>
  </si>
  <si>
    <t>Ручейковая д-9</t>
  </si>
  <si>
    <t>Ручейковая д-11</t>
  </si>
  <si>
    <t>Ручейковая д-12</t>
  </si>
  <si>
    <t>Ручейковая д-13</t>
  </si>
  <si>
    <t>Ручейковая д-14</t>
  </si>
  <si>
    <t>Ручейковая д-15</t>
  </si>
  <si>
    <t>Ручейковая д-16</t>
  </si>
  <si>
    <t>Ручейковая д-18</t>
  </si>
  <si>
    <t>Ручейковая д-19</t>
  </si>
  <si>
    <t>ПОНТОННОЕ</t>
  </si>
  <si>
    <t>Всего затраты по дому(руб)</t>
  </si>
  <si>
    <t xml:space="preserve">Начислено </t>
  </si>
  <si>
    <t>Оплачено</t>
  </si>
  <si>
    <t>ул.Лесная, д.1</t>
  </si>
  <si>
    <t>ул.Лесная, д.2</t>
  </si>
  <si>
    <t>ул.Лесная, д.3</t>
  </si>
  <si>
    <t>ул.Лесная, д.4</t>
  </si>
  <si>
    <t>ул.Лесная, д.5</t>
  </si>
  <si>
    <t>ул.Лесная, д.14</t>
  </si>
  <si>
    <t>ул.Лесная, д.15</t>
  </si>
  <si>
    <t>ул.Октябрьская, д.2</t>
  </si>
  <si>
    <t>ул.Октябрьская, д.3</t>
  </si>
  <si>
    <t>ул.Октябрьская, д.4</t>
  </si>
  <si>
    <t>ул.Октябрьская, д.7</t>
  </si>
  <si>
    <t>ул.Центральная, д.1</t>
  </si>
  <si>
    <t>ул.Центральная, д.2</t>
  </si>
  <si>
    <t>ул.Центральная, д.3</t>
  </si>
  <si>
    <t>ул.Центральная, д.4</t>
  </si>
  <si>
    <t>ул.Центральная, д.5</t>
  </si>
  <si>
    <t>ул.Центральная, д.6</t>
  </si>
  <si>
    <t>ул.Центральная, д.7</t>
  </si>
  <si>
    <t>ул.Центральная, д.8</t>
  </si>
  <si>
    <t>ул.Центральная, д.9</t>
  </si>
  <si>
    <t>ул.Центральная, д.10</t>
  </si>
  <si>
    <t>ул.Центральная, д.11</t>
  </si>
  <si>
    <t>Суходолье</t>
  </si>
  <si>
    <t>ВСЕГО</t>
  </si>
  <si>
    <t>ул.Октябрьская, д.22</t>
  </si>
  <si>
    <t>ул.Центральная, д.41</t>
  </si>
  <si>
    <t>ул.Центральная, д.45</t>
  </si>
  <si>
    <t>ул.Центральная, д.47</t>
  </si>
  <si>
    <t>СУХОДОЛЬЕ</t>
  </si>
  <si>
    <t xml:space="preserve">оплата задолженности перед РСО (отопл) </t>
  </si>
  <si>
    <t>СНЕГИРЕВКА</t>
  </si>
  <si>
    <t>Итого содержание  2016-2019гг</t>
  </si>
  <si>
    <t>Всего содержание + текущий ремонт 2020г.</t>
  </si>
  <si>
    <t>Итого текущий ремонт 216-2019гг.</t>
  </si>
  <si>
    <t xml:space="preserve"> налог на прибыль 2016-2019гг.</t>
  </si>
  <si>
    <t>Всего содержание + текущий ремон 2016-2019гг.</t>
  </si>
  <si>
    <t xml:space="preserve">Всего содержание,тек. ремонт 2016-2020гг. </t>
  </si>
  <si>
    <t>Итого остаток от оплаченного</t>
  </si>
  <si>
    <t>Остаток от оплаченного 2016-2020гг</t>
  </si>
  <si>
    <t>2016г.</t>
  </si>
  <si>
    <t>2017г.</t>
  </si>
  <si>
    <t>2018г.</t>
  </si>
  <si>
    <t>2019г.</t>
  </si>
  <si>
    <t>Всего 2016-2019гг. содержание</t>
  </si>
  <si>
    <t>Всего 2016-2019гг. текущий ремонт</t>
  </si>
  <si>
    <t>Остаток по дому от оплаченного</t>
  </si>
  <si>
    <t xml:space="preserve">2016-2020гг. </t>
  </si>
  <si>
    <t>Итого 2016-2019гг. содержание</t>
  </si>
  <si>
    <t>Итого 2016-2019гг. текущий ремонт</t>
  </si>
  <si>
    <t>ВСЕГО 2016-2020гг.</t>
  </si>
  <si>
    <t>Остаток по  оплаченного</t>
  </si>
  <si>
    <t xml:space="preserve"> услуги банка 2016-2019гг.</t>
  </si>
  <si>
    <r>
      <rPr>
        <b/>
        <i/>
        <sz val="14"/>
        <rFont val="Times New Roman"/>
        <family val="1"/>
        <charset val="204"/>
      </rPr>
      <t>Варшко</t>
    </r>
    <r>
      <rPr>
        <i/>
        <sz val="14"/>
        <rFont val="Times New Roman"/>
        <family val="1"/>
        <charset val="204"/>
      </rPr>
      <t xml:space="preserve"> ул.Заречная 2</t>
    </r>
  </si>
  <si>
    <r>
      <rPr>
        <b/>
        <i/>
        <sz val="14"/>
        <rFont val="Times New Roman"/>
        <family val="1"/>
        <charset val="204"/>
      </rPr>
      <t>Ягодное</t>
    </r>
    <r>
      <rPr>
        <i/>
        <sz val="14"/>
        <rFont val="Times New Roman"/>
        <family val="1"/>
        <charset val="204"/>
      </rPr>
      <t xml:space="preserve"> Дачная,9</t>
    </r>
  </si>
  <si>
    <r>
      <rPr>
        <b/>
        <i/>
        <sz val="14"/>
        <rFont val="Times New Roman"/>
        <family val="1"/>
        <charset val="204"/>
      </rPr>
      <t>Ягодное</t>
    </r>
    <r>
      <rPr>
        <i/>
        <sz val="14"/>
        <rFont val="Times New Roman"/>
        <family val="1"/>
        <charset val="204"/>
      </rPr>
      <t xml:space="preserve"> Лесная,13</t>
    </r>
  </si>
  <si>
    <r>
      <rPr>
        <b/>
        <i/>
        <sz val="14"/>
        <rFont val="Times New Roman"/>
        <family val="1"/>
        <charset val="204"/>
      </rPr>
      <t>Ягодное</t>
    </r>
    <r>
      <rPr>
        <i/>
        <sz val="14"/>
        <rFont val="Times New Roman"/>
        <family val="1"/>
        <charset val="204"/>
      </rPr>
      <t xml:space="preserve"> Лесная,15</t>
    </r>
  </si>
  <si>
    <r>
      <rPr>
        <b/>
        <i/>
        <sz val="14"/>
        <rFont val="Times New Roman"/>
        <family val="1"/>
        <charset val="204"/>
      </rPr>
      <t>Ягодное</t>
    </r>
    <r>
      <rPr>
        <i/>
        <sz val="14"/>
        <rFont val="Times New Roman"/>
        <family val="1"/>
        <charset val="204"/>
      </rPr>
      <t xml:space="preserve"> Лесная,26</t>
    </r>
  </si>
  <si>
    <r>
      <rPr>
        <b/>
        <i/>
        <sz val="14"/>
        <rFont val="Times New Roman"/>
        <family val="1"/>
        <charset val="204"/>
      </rPr>
      <t>Ольховка</t>
    </r>
    <r>
      <rPr>
        <i/>
        <sz val="14"/>
        <rFont val="Times New Roman"/>
        <family val="1"/>
        <charset val="204"/>
      </rPr>
      <t xml:space="preserve"> Ларионова,1</t>
    </r>
  </si>
  <si>
    <r>
      <rPr>
        <b/>
        <i/>
        <sz val="14"/>
        <rFont val="Times New Roman"/>
        <family val="1"/>
        <charset val="204"/>
      </rPr>
      <t>Ольховка</t>
    </r>
    <r>
      <rPr>
        <i/>
        <sz val="14"/>
        <rFont val="Times New Roman"/>
        <family val="1"/>
        <charset val="204"/>
      </rPr>
      <t>,Централ.22</t>
    </r>
  </si>
  <si>
    <r>
      <rPr>
        <b/>
        <i/>
        <sz val="14"/>
        <rFont val="Times New Roman"/>
        <family val="1"/>
        <charset val="204"/>
      </rPr>
      <t>Ольховка</t>
    </r>
    <r>
      <rPr>
        <i/>
        <sz val="14"/>
        <rFont val="Times New Roman"/>
        <family val="1"/>
        <charset val="204"/>
      </rPr>
      <t>,Централ.24</t>
    </r>
  </si>
  <si>
    <r>
      <rPr>
        <b/>
        <i/>
        <sz val="14"/>
        <rFont val="Times New Roman"/>
        <family val="1"/>
        <charset val="204"/>
      </rPr>
      <t>Петяярви</t>
    </r>
    <r>
      <rPr>
        <i/>
        <sz val="14"/>
        <rFont val="Times New Roman"/>
        <family val="1"/>
        <charset val="204"/>
      </rPr>
      <t>,Железн.7</t>
    </r>
  </si>
  <si>
    <r>
      <rPr>
        <b/>
        <i/>
        <sz val="14"/>
        <rFont val="Times New Roman"/>
        <family val="1"/>
        <charset val="204"/>
      </rPr>
      <t>Петяярви</t>
    </r>
    <r>
      <rPr>
        <i/>
        <sz val="14"/>
        <rFont val="Times New Roman"/>
        <family val="1"/>
        <charset val="204"/>
      </rPr>
      <t>,Железн.10</t>
    </r>
  </si>
  <si>
    <r>
      <rPr>
        <b/>
        <i/>
        <sz val="14"/>
        <rFont val="Times New Roman"/>
        <family val="1"/>
        <charset val="204"/>
      </rPr>
      <t>Петяярви</t>
    </r>
    <r>
      <rPr>
        <i/>
        <sz val="14"/>
        <rFont val="Times New Roman"/>
        <family val="1"/>
        <charset val="204"/>
      </rPr>
      <t>, Железн.,4</t>
    </r>
  </si>
  <si>
    <r>
      <rPr>
        <b/>
        <i/>
        <sz val="14"/>
        <rFont val="Times New Roman"/>
        <family val="1"/>
        <charset val="204"/>
      </rPr>
      <t>Петяярви</t>
    </r>
    <r>
      <rPr>
        <i/>
        <sz val="14"/>
        <rFont val="Times New Roman"/>
        <family val="1"/>
        <charset val="204"/>
      </rPr>
      <t>, Железн.,12</t>
    </r>
  </si>
  <si>
    <r>
      <rPr>
        <b/>
        <i/>
        <sz val="14"/>
        <rFont val="Times New Roman"/>
        <family val="1"/>
        <charset val="204"/>
      </rPr>
      <t>Петяярви</t>
    </r>
    <r>
      <rPr>
        <i/>
        <sz val="14"/>
        <rFont val="Times New Roman"/>
        <family val="1"/>
        <charset val="204"/>
      </rPr>
      <t>, Железн.,14</t>
    </r>
  </si>
  <si>
    <t>ИТОГО 2016-2019гг. содержание</t>
  </si>
  <si>
    <t>ИТОГО 2016-2019гг.текущий ремонт</t>
  </si>
  <si>
    <t>ВСЕГО 2016-2019гг.</t>
  </si>
  <si>
    <t>2020г.</t>
  </si>
  <si>
    <t>ИТОГО остаток по дому от оплаченного</t>
  </si>
  <si>
    <t>2016-2019гг.</t>
  </si>
  <si>
    <t>ИТОГО 2016-2019гг.</t>
  </si>
  <si>
    <t xml:space="preserve"> Налог на прибыль 2016-2019гг.</t>
  </si>
  <si>
    <t>ИТОГО остаток от оплаченного</t>
  </si>
  <si>
    <t>Остаток от оплаченного</t>
  </si>
  <si>
    <t>работы выполнены Октябрь 2020г.</t>
  </si>
  <si>
    <t>Соловьевка +Веснино</t>
  </si>
  <si>
    <t>Всего 2016-2020гг.</t>
  </si>
  <si>
    <t>2016-2019гг. Содержание</t>
  </si>
  <si>
    <t>2016-2019гг. Текущий ремонт</t>
  </si>
  <si>
    <t xml:space="preserve">Итого 2016-2019гг. </t>
  </si>
  <si>
    <t xml:space="preserve">Всего 2016-2020гг. </t>
  </si>
  <si>
    <t>остаток по дому от оплаченного</t>
  </si>
  <si>
    <t>Итого остаток по дому от оплаченного</t>
  </si>
  <si>
    <t>2016-2019гг. Текущий ремон</t>
  </si>
  <si>
    <t xml:space="preserve">Всего 2016-2019гг. </t>
  </si>
  <si>
    <t>Итого оплата задолженности перед РСО</t>
  </si>
  <si>
    <t xml:space="preserve">Оплата задолженности перед РСО (тбо) </t>
  </si>
  <si>
    <t>Услуги банка</t>
  </si>
  <si>
    <t>Штраф ГЖИ</t>
  </si>
  <si>
    <t>Госпошлина</t>
  </si>
  <si>
    <t xml:space="preserve">Оплата задолженности перед РСО (вода стоки) </t>
  </si>
  <si>
    <t>Всего 2016-2019гг. Содержание</t>
  </si>
  <si>
    <t>Всего 2016-2019гг. Текущий ремонт</t>
  </si>
  <si>
    <t>Итого 2016-2019гг.</t>
  </si>
  <si>
    <t>Итого 2016-2020гг.</t>
  </si>
  <si>
    <t xml:space="preserve">Итого оплата задолженности перед РСО </t>
  </si>
  <si>
    <t>Итого остаток по дому</t>
  </si>
  <si>
    <t>Площадь дома</t>
  </si>
  <si>
    <t>Содержание</t>
  </si>
  <si>
    <t>Текущий ремонт</t>
  </si>
  <si>
    <t>2016-2020 гг.</t>
  </si>
  <si>
    <t xml:space="preserve"> Налог на прибыль 2016-2019гг. </t>
  </si>
  <si>
    <t xml:space="preserve">Оплата задолженности перед РСО (отопление) </t>
  </si>
  <si>
    <t xml:space="preserve">Госпошлина </t>
  </si>
  <si>
    <t>Банкрот ФЛ</t>
  </si>
  <si>
    <t>Всего 2016-2020гг. Содержание</t>
  </si>
  <si>
    <t>Доход от платы за аренду (интернет)</t>
  </si>
  <si>
    <t xml:space="preserve"> Услуги банка</t>
  </si>
  <si>
    <t xml:space="preserve">Итого остаток по дому </t>
  </si>
  <si>
    <t>Остаток по дому от начисленного</t>
  </si>
  <si>
    <t>Всего 2016-2020гг.Текущий  ремонт</t>
  </si>
  <si>
    <t xml:space="preserve">Содержание 2016-2020гг. </t>
  </si>
  <si>
    <t xml:space="preserve">Текущий ремонт всего 2016-2020гг. </t>
  </si>
  <si>
    <t>от оплаченного</t>
  </si>
  <si>
    <t>от начисленного</t>
  </si>
  <si>
    <t>Доход от платы за аренду (Интернет)</t>
  </si>
  <si>
    <t xml:space="preserve">      Итого остаток по дому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</si>
</sst>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20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8">
    <xf numFmtId="0" fontId="0" fillId="0" borderId="0" xfId="0"/>
    <xf numFmtId="4" fontId="0" fillId="0" borderId="9" xfId="0" applyNumberFormat="1" applyBorder="1"/>
    <xf numFmtId="4" fontId="0" fillId="2" borderId="9" xfId="0" applyNumberFormat="1" applyFill="1" applyBorder="1"/>
    <xf numFmtId="4" fontId="0" fillId="3" borderId="0" xfId="0" applyNumberFormat="1" applyFill="1" applyBorder="1"/>
    <xf numFmtId="4" fontId="0" fillId="0" borderId="0" xfId="0" applyNumberFormat="1" applyBorder="1"/>
    <xf numFmtId="44" fontId="0" fillId="0" borderId="0" xfId="1" applyFont="1"/>
    <xf numFmtId="0" fontId="3" fillId="0" borderId="0" xfId="0" applyFont="1"/>
    <xf numFmtId="0" fontId="3" fillId="0" borderId="9" xfId="0" applyFont="1" applyBorder="1"/>
    <xf numFmtId="4" fontId="3" fillId="0" borderId="9" xfId="0" applyNumberFormat="1" applyFont="1" applyBorder="1"/>
    <xf numFmtId="4" fontId="3" fillId="0" borderId="5" xfId="0" applyNumberFormat="1" applyFont="1" applyBorder="1"/>
    <xf numFmtId="4" fontId="3" fillId="2" borderId="9" xfId="0" applyNumberFormat="1" applyFont="1" applyFill="1" applyBorder="1"/>
    <xf numFmtId="4" fontId="3" fillId="0" borderId="14" xfId="0" applyNumberFormat="1" applyFont="1" applyFill="1" applyBorder="1"/>
    <xf numFmtId="4" fontId="3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9" xfId="0" applyFont="1" applyBorder="1" applyAlignment="1">
      <alignment horizontal="center" vertical="center" wrapText="1"/>
    </xf>
    <xf numFmtId="0" fontId="4" fillId="0" borderId="9" xfId="0" applyFont="1" applyBorder="1"/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/>
    </xf>
    <xf numFmtId="0" fontId="9" fillId="0" borderId="0" xfId="0" applyFont="1"/>
    <xf numFmtId="0" fontId="11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/>
    </xf>
    <xf numFmtId="0" fontId="11" fillId="5" borderId="9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left"/>
    </xf>
    <xf numFmtId="2" fontId="3" fillId="0" borderId="9" xfId="0" applyNumberFormat="1" applyFont="1" applyBorder="1"/>
    <xf numFmtId="0" fontId="3" fillId="0" borderId="0" xfId="0" applyFont="1" applyBorder="1"/>
    <xf numFmtId="0" fontId="7" fillId="3" borderId="9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11" fillId="0" borderId="13" xfId="0" applyFont="1" applyBorder="1" applyAlignment="1">
      <alignment horizontal="left"/>
    </xf>
    <xf numFmtId="4" fontId="12" fillId="0" borderId="8" xfId="0" applyNumberFormat="1" applyFont="1" applyBorder="1" applyAlignment="1">
      <alignment horizontal="right"/>
    </xf>
    <xf numFmtId="4" fontId="12" fillId="0" borderId="9" xfId="0" applyNumberFormat="1" applyFont="1" applyBorder="1" applyAlignment="1">
      <alignment horizontal="right"/>
    </xf>
    <xf numFmtId="0" fontId="11" fillId="3" borderId="9" xfId="0" applyFont="1" applyFill="1" applyBorder="1" applyAlignment="1">
      <alignment horizontal="left"/>
    </xf>
    <xf numFmtId="0" fontId="11" fillId="0" borderId="9" xfId="0" applyFont="1" applyFill="1" applyBorder="1" applyAlignment="1">
      <alignment horizontal="left"/>
    </xf>
    <xf numFmtId="0" fontId="4" fillId="0" borderId="9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2" xfId="0" applyFont="1" applyBorder="1"/>
    <xf numFmtId="0" fontId="6" fillId="0" borderId="2" xfId="0" applyFont="1" applyBorder="1"/>
    <xf numFmtId="0" fontId="3" fillId="0" borderId="4" xfId="0" applyFont="1" applyBorder="1"/>
    <xf numFmtId="4" fontId="3" fillId="0" borderId="4" xfId="0" applyNumberFormat="1" applyFont="1" applyBorder="1"/>
    <xf numFmtId="0" fontId="7" fillId="4" borderId="9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4" fontId="12" fillId="2" borderId="9" xfId="0" applyNumberFormat="1" applyFont="1" applyFill="1" applyBorder="1" applyAlignment="1">
      <alignment horizontal="right" vertical="center" wrapText="1"/>
    </xf>
    <xf numFmtId="4" fontId="12" fillId="0" borderId="9" xfId="0" applyNumberFormat="1" applyFont="1" applyBorder="1" applyAlignment="1">
      <alignment horizontal="right" vertical="center" wrapText="1"/>
    </xf>
    <xf numFmtId="4" fontId="12" fillId="3" borderId="9" xfId="0" applyNumberFormat="1" applyFont="1" applyFill="1" applyBorder="1" applyAlignment="1">
      <alignment horizontal="right" vertical="center" wrapText="1"/>
    </xf>
    <xf numFmtId="4" fontId="12" fillId="0" borderId="4" xfId="0" applyNumberFormat="1" applyFont="1" applyBorder="1" applyAlignment="1">
      <alignment horizontal="right" vertical="center" wrapText="1"/>
    </xf>
    <xf numFmtId="4" fontId="15" fillId="0" borderId="9" xfId="0" applyNumberFormat="1" applyFont="1" applyBorder="1" applyAlignment="1">
      <alignment horizontal="right" vertical="center" wrapText="1"/>
    </xf>
    <xf numFmtId="0" fontId="16" fillId="0" borderId="9" xfId="0" applyFont="1" applyFill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top" wrapText="1"/>
    </xf>
    <xf numFmtId="4" fontId="3" fillId="3" borderId="5" xfId="0" applyNumberFormat="1" applyFont="1" applyFill="1" applyBorder="1" applyAlignment="1">
      <alignment horizontal="center" vertical="top" wrapText="1"/>
    </xf>
    <xf numFmtId="2" fontId="3" fillId="0" borderId="5" xfId="0" applyNumberFormat="1" applyFont="1" applyBorder="1"/>
    <xf numFmtId="2" fontId="3" fillId="0" borderId="0" xfId="0" applyNumberFormat="1" applyFont="1"/>
    <xf numFmtId="4" fontId="3" fillId="0" borderId="7" xfId="0" applyNumberFormat="1" applyFont="1" applyBorder="1"/>
    <xf numFmtId="4" fontId="3" fillId="0" borderId="4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9" fillId="0" borderId="0" xfId="0" applyFont="1" applyBorder="1"/>
    <xf numFmtId="4" fontId="12" fillId="3" borderId="13" xfId="0" applyNumberFormat="1" applyFont="1" applyFill="1" applyBorder="1" applyAlignment="1">
      <alignment horizontal="center" vertical="top" wrapText="1"/>
    </xf>
    <xf numFmtId="0" fontId="17" fillId="0" borderId="9" xfId="0" applyFont="1" applyBorder="1" applyAlignment="1">
      <alignment horizontal="left"/>
    </xf>
    <xf numFmtId="4" fontId="9" fillId="0" borderId="9" xfId="0" applyNumberFormat="1" applyFont="1" applyBorder="1" applyAlignment="1">
      <alignment horizontal="center" vertical="center" wrapText="1"/>
    </xf>
    <xf numFmtId="4" fontId="15" fillId="3" borderId="9" xfId="0" applyNumberFormat="1" applyFont="1" applyFill="1" applyBorder="1" applyAlignment="1">
      <alignment horizontal="center" vertical="top" wrapText="1"/>
    </xf>
    <xf numFmtId="4" fontId="10" fillId="0" borderId="9" xfId="0" applyNumberFormat="1" applyFont="1" applyBorder="1"/>
    <xf numFmtId="2" fontId="10" fillId="0" borderId="5" xfId="0" applyNumberFormat="1" applyFont="1" applyBorder="1"/>
    <xf numFmtId="4" fontId="10" fillId="0" borderId="5" xfId="0" applyNumberFormat="1" applyFont="1" applyBorder="1"/>
    <xf numFmtId="0" fontId="7" fillId="0" borderId="4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8" fillId="0" borderId="0" xfId="0" applyFont="1"/>
    <xf numFmtId="2" fontId="3" fillId="0" borderId="9" xfId="0" applyNumberFormat="1" applyFont="1" applyBorder="1" applyAlignment="1">
      <alignment wrapText="1"/>
    </xf>
    <xf numFmtId="0" fontId="3" fillId="0" borderId="9" xfId="0" applyFont="1" applyFill="1" applyBorder="1"/>
    <xf numFmtId="0" fontId="7" fillId="3" borderId="9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/>
    </xf>
    <xf numFmtId="0" fontId="16" fillId="3" borderId="9" xfId="0" applyFont="1" applyFill="1" applyBorder="1" applyAlignment="1">
      <alignment horizontal="left"/>
    </xf>
    <xf numFmtId="4" fontId="10" fillId="2" borderId="9" xfId="0" applyNumberFormat="1" applyFont="1" applyFill="1" applyBorder="1"/>
    <xf numFmtId="0" fontId="10" fillId="0" borderId="9" xfId="0" applyFont="1" applyBorder="1"/>
    <xf numFmtId="0" fontId="13" fillId="0" borderId="0" xfId="0" applyFont="1"/>
    <xf numFmtId="0" fontId="8" fillId="0" borderId="9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wrapText="1"/>
    </xf>
    <xf numFmtId="2" fontId="3" fillId="2" borderId="9" xfId="0" applyNumberFormat="1" applyFont="1" applyFill="1" applyBorder="1"/>
    <xf numFmtId="0" fontId="6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wrapText="1"/>
    </xf>
    <xf numFmtId="0" fontId="7" fillId="3" borderId="9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wrapText="1"/>
    </xf>
    <xf numFmtId="0" fontId="6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4" fontId="3" fillId="0" borderId="12" xfId="0" applyNumberFormat="1" applyFont="1" applyFill="1" applyBorder="1"/>
    <xf numFmtId="0" fontId="6" fillId="0" borderId="0" xfId="0" applyFont="1"/>
    <xf numFmtId="0" fontId="5" fillId="0" borderId="9" xfId="0" applyFont="1" applyBorder="1"/>
    <xf numFmtId="0" fontId="19" fillId="0" borderId="4" xfId="0" applyFont="1" applyBorder="1" applyAlignment="1">
      <alignment horizontal="left"/>
    </xf>
    <xf numFmtId="0" fontId="7" fillId="0" borderId="9" xfId="0" applyFont="1" applyBorder="1"/>
    <xf numFmtId="0" fontId="3" fillId="0" borderId="9" xfId="0" applyFont="1" applyBorder="1" applyAlignment="1">
      <alignment horizontal="right"/>
    </xf>
    <xf numFmtId="4" fontId="3" fillId="3" borderId="9" xfId="0" applyNumberFormat="1" applyFont="1" applyFill="1" applyBorder="1"/>
    <xf numFmtId="0" fontId="12" fillId="0" borderId="0" xfId="0" applyFont="1" applyFill="1" applyBorder="1" applyAlignment="1">
      <alignment horizontal="left"/>
    </xf>
    <xf numFmtId="2" fontId="12" fillId="3" borderId="9" xfId="0" applyNumberFormat="1" applyFont="1" applyFill="1" applyBorder="1" applyAlignment="1">
      <alignment horizontal="right"/>
    </xf>
    <xf numFmtId="4" fontId="12" fillId="0" borderId="9" xfId="0" applyNumberFormat="1" applyFont="1" applyBorder="1" applyAlignment="1">
      <alignment horizontal="center"/>
    </xf>
    <xf numFmtId="4" fontId="12" fillId="0" borderId="9" xfId="0" applyNumberFormat="1" applyFont="1" applyBorder="1" applyAlignment="1">
      <alignment horizontal="center" vertical="center" wrapText="1"/>
    </xf>
    <xf numFmtId="4" fontId="12" fillId="3" borderId="9" xfId="0" applyNumberFormat="1" applyFont="1" applyFill="1" applyBorder="1" applyAlignment="1">
      <alignment horizontal="right"/>
    </xf>
    <xf numFmtId="4" fontId="12" fillId="0" borderId="9" xfId="0" applyNumberFormat="1" applyFont="1" applyBorder="1" applyAlignment="1"/>
    <xf numFmtId="4" fontId="12" fillId="3" borderId="9" xfId="0" applyNumberFormat="1" applyFont="1" applyFill="1" applyBorder="1" applyAlignment="1">
      <alignment horizontal="center" vertical="center" wrapText="1"/>
    </xf>
    <xf numFmtId="4" fontId="12" fillId="4" borderId="9" xfId="0" applyNumberFormat="1" applyFont="1" applyFill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7" fillId="0" borderId="9" xfId="0" applyFont="1" applyBorder="1" applyAlignment="1">
      <alignment horizontal="center"/>
    </xf>
    <xf numFmtId="4" fontId="15" fillId="0" borderId="9" xfId="0" applyNumberFormat="1" applyFont="1" applyBorder="1" applyAlignment="1">
      <alignment horizontal="center"/>
    </xf>
    <xf numFmtId="4" fontId="12" fillId="3" borderId="0" xfId="0" applyNumberFormat="1" applyFont="1" applyFill="1" applyBorder="1" applyAlignment="1">
      <alignment horizontal="right"/>
    </xf>
    <xf numFmtId="4" fontId="12" fillId="0" borderId="0" xfId="0" applyNumberFormat="1" applyFont="1" applyBorder="1" applyAlignment="1"/>
    <xf numFmtId="0" fontId="8" fillId="0" borderId="9" xfId="0" applyFont="1" applyBorder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2" fontId="6" fillId="2" borderId="12" xfId="0" applyNumberFormat="1" applyFont="1" applyFill="1" applyBorder="1" applyAlignment="1">
      <alignment horizontal="center" vertical="center" wrapText="1"/>
    </xf>
    <xf numFmtId="2" fontId="6" fillId="2" borderId="13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 shrinkToFi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center" wrapText="1"/>
    </xf>
    <xf numFmtId="0" fontId="16" fillId="0" borderId="9" xfId="0" applyFont="1" applyBorder="1" applyAlignment="1">
      <alignment horizontal="left" vertical="top" wrapText="1"/>
    </xf>
    <xf numFmtId="0" fontId="6" fillId="5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0" borderId="9" xfId="0" applyFont="1" applyBorder="1"/>
    <xf numFmtId="0" fontId="6" fillId="0" borderId="9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2" fontId="14" fillId="2" borderId="4" xfId="0" applyNumberFormat="1" applyFont="1" applyFill="1" applyBorder="1" applyAlignment="1">
      <alignment horizontal="center" vertical="center" wrapText="1"/>
    </xf>
    <xf numFmtId="2" fontId="14" fillId="2" borderId="12" xfId="0" applyNumberFormat="1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2" fontId="14" fillId="2" borderId="1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4" fillId="0" borderId="9" xfId="0" applyFont="1" applyFill="1" applyBorder="1"/>
    <xf numFmtId="0" fontId="14" fillId="0" borderId="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4" fontId="3" fillId="0" borderId="0" xfId="0" applyNumberFormat="1" applyFont="1" applyBorder="1"/>
    <xf numFmtId="0" fontId="5" fillId="0" borderId="10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10" xfId="0" applyBorder="1" applyAlignmen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39"/>
  <sheetViews>
    <sheetView topLeftCell="AC1" workbookViewId="0">
      <selection activeCell="AO15" sqref="AO15"/>
    </sheetView>
  </sheetViews>
  <sheetFormatPr defaultRowHeight="15.75" x14ac:dyDescent="0.25"/>
  <cols>
    <col min="1" max="1" width="19.125" style="6" customWidth="1"/>
    <col min="2" max="2" width="13.375" style="6" customWidth="1"/>
    <col min="3" max="3" width="12.875" style="6" customWidth="1"/>
    <col min="4" max="4" width="13.5" style="6" customWidth="1"/>
    <col min="5" max="5" width="11.375" style="6" customWidth="1"/>
    <col min="6" max="6" width="11.5" style="6" customWidth="1"/>
    <col min="7" max="7" width="12.125" style="6" customWidth="1"/>
    <col min="8" max="8" width="12.625" style="6" customWidth="1"/>
    <col min="9" max="11" width="12" style="6" customWidth="1"/>
    <col min="12" max="12" width="11.5" style="6" customWidth="1"/>
    <col min="13" max="13" width="11.625" style="6" customWidth="1"/>
    <col min="14" max="14" width="12.25" style="6" customWidth="1"/>
    <col min="15" max="15" width="12.75" style="6" customWidth="1"/>
    <col min="16" max="16" width="14.75" style="6" customWidth="1"/>
    <col min="17" max="17" width="12.75" style="6" customWidth="1"/>
    <col min="18" max="18" width="12" style="6" customWidth="1"/>
    <col min="19" max="20" width="14.375" style="6" customWidth="1"/>
    <col min="21" max="21" width="13.875" style="6" customWidth="1"/>
    <col min="22" max="25" width="12.625" style="6" customWidth="1"/>
    <col min="26" max="26" width="13.625" style="6" customWidth="1"/>
    <col min="27" max="27" width="13.5" style="6" customWidth="1"/>
    <col min="28" max="28" width="13" style="6" customWidth="1"/>
    <col min="29" max="29" width="14.125" style="6" customWidth="1"/>
    <col min="30" max="30" width="11.625" style="6" customWidth="1"/>
    <col min="31" max="31" width="13.875" style="6" customWidth="1"/>
    <col min="32" max="32" width="9.625" style="6" customWidth="1"/>
    <col min="33" max="33" width="10" style="6" customWidth="1"/>
    <col min="34" max="34" width="11.5" style="6" customWidth="1"/>
    <col min="35" max="35" width="9.25" style="6" customWidth="1"/>
    <col min="36" max="37" width="9.125" style="6" customWidth="1"/>
    <col min="38" max="38" width="14.5" style="6" customWidth="1"/>
    <col min="39" max="39" width="15.125" style="6" customWidth="1"/>
    <col min="40" max="16384" width="9" style="6"/>
  </cols>
  <sheetData>
    <row r="2" spans="1:39" x14ac:dyDescent="0.25">
      <c r="AD2" s="20" t="s">
        <v>0</v>
      </c>
    </row>
    <row r="3" spans="1:39" ht="15" customHeight="1" x14ac:dyDescent="0.35">
      <c r="A3" s="117" t="s">
        <v>0</v>
      </c>
      <c r="B3" s="39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119" t="s">
        <v>265</v>
      </c>
      <c r="AA3" s="120"/>
      <c r="AB3" s="121"/>
      <c r="AC3" s="125" t="s">
        <v>267</v>
      </c>
      <c r="AD3" s="128" t="s">
        <v>2</v>
      </c>
      <c r="AE3" s="129"/>
      <c r="AF3" s="129"/>
      <c r="AG3" s="129"/>
      <c r="AH3" s="129"/>
      <c r="AI3" s="129"/>
      <c r="AJ3" s="129"/>
      <c r="AK3" s="130"/>
      <c r="AL3" s="125" t="s">
        <v>266</v>
      </c>
      <c r="AM3" s="138" t="s">
        <v>48</v>
      </c>
    </row>
    <row r="4" spans="1:39" ht="40.5" customHeight="1" x14ac:dyDescent="0.3">
      <c r="A4" s="118"/>
      <c r="B4" s="131" t="s">
        <v>268</v>
      </c>
      <c r="C4" s="131"/>
      <c r="D4" s="131"/>
      <c r="E4" s="131" t="s">
        <v>269</v>
      </c>
      <c r="F4" s="131"/>
      <c r="G4" s="131"/>
      <c r="H4" s="131" t="s">
        <v>270</v>
      </c>
      <c r="I4" s="131"/>
      <c r="J4" s="131"/>
      <c r="K4" s="131" t="s">
        <v>271</v>
      </c>
      <c r="L4" s="131"/>
      <c r="M4" s="131"/>
      <c r="N4" s="132" t="s">
        <v>260</v>
      </c>
      <c r="O4" s="132"/>
      <c r="P4" s="132"/>
      <c r="Q4" s="133" t="s">
        <v>262</v>
      </c>
      <c r="R4" s="134"/>
      <c r="S4" s="135"/>
      <c r="T4" s="136" t="s">
        <v>264</v>
      </c>
      <c r="U4" s="136"/>
      <c r="V4" s="136"/>
      <c r="W4" s="136" t="s">
        <v>261</v>
      </c>
      <c r="X4" s="136"/>
      <c r="Y4" s="137"/>
      <c r="Z4" s="122"/>
      <c r="AA4" s="123"/>
      <c r="AB4" s="124"/>
      <c r="AC4" s="126"/>
      <c r="AD4" s="136" t="s">
        <v>45</v>
      </c>
      <c r="AE4" s="136" t="s">
        <v>3</v>
      </c>
      <c r="AF4" s="136" t="s">
        <v>4</v>
      </c>
      <c r="AG4" s="136" t="s">
        <v>4</v>
      </c>
      <c r="AH4" s="136" t="s">
        <v>5</v>
      </c>
      <c r="AI4" s="136" t="s">
        <v>46</v>
      </c>
      <c r="AJ4" s="141" t="s">
        <v>6</v>
      </c>
      <c r="AK4" s="119" t="s">
        <v>47</v>
      </c>
      <c r="AL4" s="126"/>
      <c r="AM4" s="139"/>
    </row>
    <row r="5" spans="1:39" ht="105" customHeight="1" x14ac:dyDescent="0.25">
      <c r="A5" s="7"/>
      <c r="B5" s="17" t="s">
        <v>8</v>
      </c>
      <c r="C5" s="17" t="s">
        <v>9</v>
      </c>
      <c r="D5" s="17" t="s">
        <v>10</v>
      </c>
      <c r="E5" s="17" t="s">
        <v>8</v>
      </c>
      <c r="F5" s="17" t="s">
        <v>9</v>
      </c>
      <c r="G5" s="17" t="s">
        <v>10</v>
      </c>
      <c r="H5" s="17" t="s">
        <v>8</v>
      </c>
      <c r="I5" s="17" t="s">
        <v>9</v>
      </c>
      <c r="J5" s="17" t="s">
        <v>10</v>
      </c>
      <c r="K5" s="17" t="s">
        <v>8</v>
      </c>
      <c r="L5" s="17" t="s">
        <v>9</v>
      </c>
      <c r="M5" s="17" t="s">
        <v>10</v>
      </c>
      <c r="N5" s="17" t="s">
        <v>8</v>
      </c>
      <c r="O5" s="17" t="s">
        <v>9</v>
      </c>
      <c r="P5" s="17" t="s">
        <v>10</v>
      </c>
      <c r="Q5" s="17" t="s">
        <v>8</v>
      </c>
      <c r="R5" s="17" t="s">
        <v>9</v>
      </c>
      <c r="S5" s="17" t="s">
        <v>10</v>
      </c>
      <c r="T5" s="17" t="s">
        <v>8</v>
      </c>
      <c r="U5" s="17" t="s">
        <v>9</v>
      </c>
      <c r="V5" s="17" t="s">
        <v>10</v>
      </c>
      <c r="W5" s="17" t="s">
        <v>8</v>
      </c>
      <c r="X5" s="17" t="s">
        <v>9</v>
      </c>
      <c r="Y5" s="17" t="s">
        <v>10</v>
      </c>
      <c r="Z5" s="17" t="s">
        <v>8</v>
      </c>
      <c r="AA5" s="17" t="s">
        <v>9</v>
      </c>
      <c r="AB5" s="17" t="s">
        <v>10</v>
      </c>
      <c r="AC5" s="127"/>
      <c r="AD5" s="136"/>
      <c r="AE5" s="136"/>
      <c r="AF5" s="136"/>
      <c r="AG5" s="136"/>
      <c r="AH5" s="136"/>
      <c r="AI5" s="136"/>
      <c r="AJ5" s="142"/>
      <c r="AK5" s="122"/>
      <c r="AL5" s="127"/>
      <c r="AM5" s="140"/>
    </row>
    <row r="6" spans="1:39" x14ac:dyDescent="0.25">
      <c r="A6" s="21" t="s">
        <v>11</v>
      </c>
      <c r="B6" s="8">
        <v>118.8</v>
      </c>
      <c r="C6" s="8">
        <v>118.8</v>
      </c>
      <c r="D6" s="8">
        <v>1096.44</v>
      </c>
      <c r="E6" s="8"/>
      <c r="F6" s="8"/>
      <c r="G6" s="8"/>
      <c r="H6" s="8"/>
      <c r="I6" s="8"/>
      <c r="J6" s="9"/>
      <c r="K6" s="9"/>
      <c r="L6" s="9"/>
      <c r="M6" s="9"/>
      <c r="N6" s="8">
        <f>B6+E6+H6+K6</f>
        <v>118.8</v>
      </c>
      <c r="O6" s="8">
        <f>C6+F6+I6+L6</f>
        <v>118.8</v>
      </c>
      <c r="P6" s="8">
        <f>D6+G6+J6+M6</f>
        <v>1096.44</v>
      </c>
      <c r="Q6" s="7"/>
      <c r="R6" s="7"/>
      <c r="S6" s="7"/>
      <c r="T6" s="8">
        <f>N6+Q6</f>
        <v>118.8</v>
      </c>
      <c r="U6" s="8">
        <f>O6+R6</f>
        <v>118.8</v>
      </c>
      <c r="V6" s="8">
        <f>P6+S6</f>
        <v>1096.44</v>
      </c>
      <c r="W6" s="8"/>
      <c r="X6" s="8"/>
      <c r="Y6" s="8"/>
      <c r="Z6" s="8">
        <f>T6+W6</f>
        <v>118.8</v>
      </c>
      <c r="AA6" s="8">
        <f>U6+X6</f>
        <v>118.8</v>
      </c>
      <c r="AB6" s="8">
        <f>V6+Y6</f>
        <v>1096.44</v>
      </c>
      <c r="AC6" s="10">
        <f>AA6-AB6</f>
        <v>-977.6400000000001</v>
      </c>
      <c r="AD6" s="8">
        <f t="shared" ref="AD6:AD32" si="0">-AA6*0.01</f>
        <v>-1.1879999999999999</v>
      </c>
      <c r="AE6" s="7"/>
      <c r="AF6" s="7"/>
      <c r="AG6" s="7"/>
      <c r="AH6" s="7"/>
      <c r="AI6" s="7"/>
      <c r="AJ6" s="7"/>
      <c r="AK6" s="7">
        <v>-29.11</v>
      </c>
      <c r="AL6" s="10">
        <f>AD6+AC6+AI6+AJ6+AK6</f>
        <v>-1007.9380000000001</v>
      </c>
      <c r="AM6" s="10">
        <f>Z6-AB6+AD6+AI6+AJ6+AK6</f>
        <v>-1007.9380000000001</v>
      </c>
    </row>
    <row r="7" spans="1:39" x14ac:dyDescent="0.25">
      <c r="A7" s="22" t="s">
        <v>12</v>
      </c>
      <c r="B7" s="8">
        <f>100008.24+11683.2+30026.08</f>
        <v>141717.52000000002</v>
      </c>
      <c r="C7" s="8">
        <f>76064.67+8895.69+22837.28</f>
        <v>107797.64</v>
      </c>
      <c r="D7" s="8">
        <f>110201.09+4458.13+26755.73</f>
        <v>141414.95000000001</v>
      </c>
      <c r="E7" s="8">
        <v>245118.54</v>
      </c>
      <c r="F7" s="8">
        <v>214655.73</v>
      </c>
      <c r="G7" s="8">
        <v>233647.54</v>
      </c>
      <c r="H7" s="8">
        <v>283769.78999999998</v>
      </c>
      <c r="I7" s="8">
        <v>261430.83740536729</v>
      </c>
      <c r="J7" s="9">
        <v>293141.80349225085</v>
      </c>
      <c r="K7" s="9">
        <v>295061.40999999997</v>
      </c>
      <c r="L7" s="9">
        <v>295507.68</v>
      </c>
      <c r="M7" s="9">
        <v>319695.28999999998</v>
      </c>
      <c r="N7" s="8">
        <f t="shared" ref="N7:P38" si="1">B7+E7+H7+K7</f>
        <v>965667.26</v>
      </c>
      <c r="O7" s="8">
        <f t="shared" si="1"/>
        <v>879391.88740536734</v>
      </c>
      <c r="P7" s="8">
        <f t="shared" si="1"/>
        <v>987899.58349225088</v>
      </c>
      <c r="Q7" s="7">
        <v>348922.4</v>
      </c>
      <c r="R7" s="7">
        <v>333619.14259463269</v>
      </c>
      <c r="S7" s="7">
        <v>154428.38</v>
      </c>
      <c r="T7" s="8">
        <f t="shared" ref="T7:V37" si="2">N7+Q7</f>
        <v>1314589.6600000001</v>
      </c>
      <c r="U7" s="8">
        <f t="shared" si="2"/>
        <v>1213011.03</v>
      </c>
      <c r="V7" s="8">
        <f t="shared" si="2"/>
        <v>1142327.963492251</v>
      </c>
      <c r="W7" s="8">
        <v>389277.19</v>
      </c>
      <c r="X7" s="8">
        <v>378516.57</v>
      </c>
      <c r="Y7" s="8">
        <v>316742.19</v>
      </c>
      <c r="Z7" s="8">
        <f t="shared" ref="Z7:AB37" si="3">T7+W7</f>
        <v>1703866.85</v>
      </c>
      <c r="AA7" s="8">
        <f t="shared" si="3"/>
        <v>1591527.6</v>
      </c>
      <c r="AB7" s="8">
        <f>V7+Y7</f>
        <v>1459070.1534922509</v>
      </c>
      <c r="AC7" s="10">
        <f t="shared" ref="AC7:AC38" si="4">AA7-AB7</f>
        <v>132457.44650774915</v>
      </c>
      <c r="AD7" s="8">
        <v>-12130.11</v>
      </c>
      <c r="AE7" s="7">
        <v>-67368.77</v>
      </c>
      <c r="AF7" s="7">
        <v>-28214.91</v>
      </c>
      <c r="AG7" s="7">
        <v>-40877.18</v>
      </c>
      <c r="AH7" s="7">
        <v>-9592.92</v>
      </c>
      <c r="AI7" s="7">
        <f>AF7+AG7+AH7+AE7</f>
        <v>-146053.78</v>
      </c>
      <c r="AJ7" s="7"/>
      <c r="AK7" s="7">
        <v>-4113.5</v>
      </c>
      <c r="AL7" s="10">
        <f t="shared" ref="AL7:AL37" si="5">AD7+AC7+AI7+AJ7+AK7</f>
        <v>-29839.943492250852</v>
      </c>
      <c r="AM7" s="10">
        <f t="shared" ref="AM7:AM37" si="6">Z7-AB7+AD7+AI7+AJ7+AK7</f>
        <v>82499.306507749163</v>
      </c>
    </row>
    <row r="8" spans="1:39" x14ac:dyDescent="0.25">
      <c r="A8" s="22" t="s">
        <v>13</v>
      </c>
      <c r="B8" s="8">
        <f>137162.74+16023.7+29105.1</f>
        <v>182291.54</v>
      </c>
      <c r="C8" s="8">
        <f>115761.95+13523.61+23979.52</f>
        <v>153265.07999999999</v>
      </c>
      <c r="D8" s="8">
        <f>137121.42+4444.4+40974.32</f>
        <v>182540.14</v>
      </c>
      <c r="E8" s="8">
        <v>203481.27</v>
      </c>
      <c r="F8" s="8">
        <v>206169.56</v>
      </c>
      <c r="G8" s="8">
        <v>236810.23</v>
      </c>
      <c r="H8" s="8">
        <v>225036.41</v>
      </c>
      <c r="I8" s="8">
        <v>196108.03231632142</v>
      </c>
      <c r="J8" s="9">
        <v>287704.96351502999</v>
      </c>
      <c r="K8" s="9">
        <v>205082.15</v>
      </c>
      <c r="L8" s="9">
        <v>179843.38</v>
      </c>
      <c r="M8" s="9">
        <v>302955.75</v>
      </c>
      <c r="N8" s="8">
        <f t="shared" si="1"/>
        <v>815891.37</v>
      </c>
      <c r="O8" s="8">
        <f t="shared" si="1"/>
        <v>735386.05231632141</v>
      </c>
      <c r="P8" s="8">
        <f t="shared" si="1"/>
        <v>1010011.08351503</v>
      </c>
      <c r="Q8" s="7">
        <v>365632.26</v>
      </c>
      <c r="R8" s="7">
        <v>341793.50768367865</v>
      </c>
      <c r="S8" s="7">
        <v>138478.63</v>
      </c>
      <c r="T8" s="8">
        <f t="shared" si="2"/>
        <v>1181523.6299999999</v>
      </c>
      <c r="U8" s="8">
        <f t="shared" si="2"/>
        <v>1077179.56</v>
      </c>
      <c r="V8" s="8">
        <f t="shared" si="2"/>
        <v>1148489.71351503</v>
      </c>
      <c r="W8" s="8">
        <v>365258.16</v>
      </c>
      <c r="X8" s="8">
        <v>365063.85</v>
      </c>
      <c r="Y8" s="8">
        <v>293335.09000000003</v>
      </c>
      <c r="Z8" s="8">
        <f t="shared" si="3"/>
        <v>1546781.7899999998</v>
      </c>
      <c r="AA8" s="8">
        <f t="shared" si="3"/>
        <v>1442243.4100000001</v>
      </c>
      <c r="AB8" s="8">
        <f t="shared" si="3"/>
        <v>1441824.8035150301</v>
      </c>
      <c r="AC8" s="10">
        <f t="shared" si="4"/>
        <v>418.60648497007787</v>
      </c>
      <c r="AD8" s="8">
        <v>-10771.8</v>
      </c>
      <c r="AE8" s="7">
        <v>-36223.89</v>
      </c>
      <c r="AF8" s="7">
        <v>-14253.88</v>
      </c>
      <c r="AG8" s="7">
        <v>-24523.41</v>
      </c>
      <c r="AH8" s="7">
        <v>-5288.9</v>
      </c>
      <c r="AI8" s="7">
        <f t="shared" ref="AI8:AI23" si="7">AF8+AG8+AH8+AE8</f>
        <v>-80290.080000000002</v>
      </c>
      <c r="AJ8" s="7">
        <f>-(2789.11+4819.39)</f>
        <v>-7608.5</v>
      </c>
      <c r="AK8" s="7">
        <v>-4100.83</v>
      </c>
      <c r="AL8" s="10">
        <f t="shared" si="5"/>
        <v>-102352.60351502993</v>
      </c>
      <c r="AM8" s="10">
        <f t="shared" si="6"/>
        <v>2185.7764849697287</v>
      </c>
    </row>
    <row r="9" spans="1:39" x14ac:dyDescent="0.25">
      <c r="A9" s="22" t="s">
        <v>14</v>
      </c>
      <c r="B9" s="8">
        <f>59215.31+8544.8+18969.61</f>
        <v>86729.72</v>
      </c>
      <c r="C9" s="8">
        <f>51123.64+7377.16+16377.44</f>
        <v>74878.240000000005</v>
      </c>
      <c r="D9" s="8">
        <f>67412.28+2370.02+11290.08</f>
        <v>81072.38</v>
      </c>
      <c r="E9" s="8">
        <v>112269.73</v>
      </c>
      <c r="F9" s="8">
        <v>103304.03</v>
      </c>
      <c r="G9" s="8">
        <v>129326.39</v>
      </c>
      <c r="H9" s="8">
        <v>126556.61</v>
      </c>
      <c r="I9" s="8">
        <v>117206.1919003455</v>
      </c>
      <c r="J9" s="9">
        <v>154043.64184559294</v>
      </c>
      <c r="K9" s="9">
        <v>133369.06</v>
      </c>
      <c r="L9" s="9">
        <v>129738.1</v>
      </c>
      <c r="M9" s="9">
        <v>180050.6</v>
      </c>
      <c r="N9" s="8">
        <f t="shared" si="1"/>
        <v>458925.12</v>
      </c>
      <c r="O9" s="8">
        <f t="shared" si="1"/>
        <v>425126.56190034549</v>
      </c>
      <c r="P9" s="8">
        <f t="shared" si="1"/>
        <v>544493.01184559299</v>
      </c>
      <c r="Q9" s="7">
        <v>194977.09999999998</v>
      </c>
      <c r="R9" s="7">
        <v>190109.72809965449</v>
      </c>
      <c r="S9" s="7">
        <v>34469.949999999997</v>
      </c>
      <c r="T9" s="8">
        <f t="shared" si="2"/>
        <v>653902.22</v>
      </c>
      <c r="U9" s="8">
        <f t="shared" si="2"/>
        <v>615236.29</v>
      </c>
      <c r="V9" s="8">
        <f t="shared" si="2"/>
        <v>578962.96184559294</v>
      </c>
      <c r="W9" s="8">
        <v>190030.72</v>
      </c>
      <c r="X9" s="8">
        <v>174814.17</v>
      </c>
      <c r="Y9" s="8">
        <v>167429.13</v>
      </c>
      <c r="Z9" s="8">
        <f t="shared" si="3"/>
        <v>843932.94</v>
      </c>
      <c r="AA9" s="8">
        <f t="shared" si="3"/>
        <v>790050.46000000008</v>
      </c>
      <c r="AB9" s="8">
        <f t="shared" si="3"/>
        <v>746392.09184559295</v>
      </c>
      <c r="AC9" s="10">
        <f t="shared" si="4"/>
        <v>43658.36815440713</v>
      </c>
      <c r="AD9" s="8">
        <v>-6152.36</v>
      </c>
      <c r="AE9" s="7">
        <v>-11973.07</v>
      </c>
      <c r="AF9" s="7">
        <v>-7748.04</v>
      </c>
      <c r="AG9" s="7">
        <v>-12362.05</v>
      </c>
      <c r="AH9" s="7">
        <f>-(2975.06+4559.56)</f>
        <v>-7534.6200000000008</v>
      </c>
      <c r="AI9" s="7">
        <f t="shared" si="7"/>
        <v>-39617.78</v>
      </c>
      <c r="AJ9" s="7">
        <v>-1200</v>
      </c>
      <c r="AK9" s="7">
        <v>-2186.81</v>
      </c>
      <c r="AL9" s="10">
        <f t="shared" si="5"/>
        <v>-5498.5818455928693</v>
      </c>
      <c r="AM9" s="10">
        <f t="shared" si="6"/>
        <v>48383.898154406997</v>
      </c>
    </row>
    <row r="10" spans="1:39" x14ac:dyDescent="0.25">
      <c r="A10" s="22" t="s">
        <v>15</v>
      </c>
      <c r="B10" s="8">
        <f>58047.38+8511.31+18895.42</f>
        <v>85454.11</v>
      </c>
      <c r="C10" s="8">
        <f>48558.8+7120.01+15806.71</f>
        <v>71485.52</v>
      </c>
      <c r="D10" s="8">
        <f>66791.7+2359.98+20458.43</f>
        <v>89610.109999999986</v>
      </c>
      <c r="E10" s="8">
        <v>108578.33</v>
      </c>
      <c r="F10" s="8">
        <v>109230.73</v>
      </c>
      <c r="G10" s="8">
        <v>123485.94</v>
      </c>
      <c r="H10" s="8">
        <v>123316.23999999999</v>
      </c>
      <c r="I10" s="8">
        <v>112787.39283759057</v>
      </c>
      <c r="J10" s="9">
        <v>152172.81257335818</v>
      </c>
      <c r="K10" s="9">
        <v>131831.35999999999</v>
      </c>
      <c r="L10" s="9">
        <v>130171.79</v>
      </c>
      <c r="M10" s="9">
        <v>169567.4</v>
      </c>
      <c r="N10" s="8">
        <f t="shared" si="1"/>
        <v>449180.04</v>
      </c>
      <c r="O10" s="8">
        <f t="shared" si="1"/>
        <v>423675.43283759052</v>
      </c>
      <c r="P10" s="8">
        <f t="shared" si="1"/>
        <v>534836.26257335814</v>
      </c>
      <c r="Q10" s="7">
        <v>194284.81</v>
      </c>
      <c r="R10" s="7">
        <v>191484.03716240943</v>
      </c>
      <c r="S10" s="7">
        <v>76063.709999999992</v>
      </c>
      <c r="T10" s="8">
        <f t="shared" si="2"/>
        <v>643464.85</v>
      </c>
      <c r="U10" s="8">
        <f t="shared" si="2"/>
        <v>615159.47</v>
      </c>
      <c r="V10" s="8">
        <f t="shared" si="2"/>
        <v>610899.9725733581</v>
      </c>
      <c r="W10" s="8">
        <v>188174.25</v>
      </c>
      <c r="X10" s="8">
        <v>176613.65</v>
      </c>
      <c r="Y10" s="8">
        <v>166100.57</v>
      </c>
      <c r="Z10" s="8">
        <f t="shared" si="3"/>
        <v>831639.1</v>
      </c>
      <c r="AA10" s="8">
        <f t="shared" si="3"/>
        <v>791773.12</v>
      </c>
      <c r="AB10" s="8">
        <f t="shared" si="3"/>
        <v>777000.54257335817</v>
      </c>
      <c r="AC10" s="10">
        <f t="shared" si="4"/>
        <v>14772.57742664183</v>
      </c>
      <c r="AD10" s="8">
        <v>-6151.59</v>
      </c>
      <c r="AE10" s="7">
        <v>-3584.93</v>
      </c>
      <c r="AF10" s="7">
        <v>-3692.18</v>
      </c>
      <c r="AG10" s="7">
        <v>-6335.52</v>
      </c>
      <c r="AH10" s="7">
        <v>-2580.2600000000002</v>
      </c>
      <c r="AI10" s="7">
        <f t="shared" si="7"/>
        <v>-16192.890000000001</v>
      </c>
      <c r="AJ10" s="7">
        <v>-413.05</v>
      </c>
      <c r="AK10" s="7">
        <v>-2177.5500000000002</v>
      </c>
      <c r="AL10" s="10">
        <f t="shared" si="5"/>
        <v>-10162.502573358172</v>
      </c>
      <c r="AM10" s="10">
        <f t="shared" si="6"/>
        <v>29703.477426641817</v>
      </c>
    </row>
    <row r="11" spans="1:39" x14ac:dyDescent="0.25">
      <c r="A11" s="22" t="s">
        <v>16</v>
      </c>
      <c r="B11" s="8">
        <f>174428.43+19776.5+50627.91</f>
        <v>244832.84</v>
      </c>
      <c r="C11" s="8">
        <f>145109+16442.46+42085.22</f>
        <v>203636.68</v>
      </c>
      <c r="D11" s="8">
        <f>173092.26+5491.5+38293.93</f>
        <v>216877.69</v>
      </c>
      <c r="E11" s="8">
        <v>312939.34999999998</v>
      </c>
      <c r="F11" s="8">
        <v>307698.45</v>
      </c>
      <c r="G11" s="8">
        <v>294461.37</v>
      </c>
      <c r="H11" s="8">
        <v>354737.02</v>
      </c>
      <c r="I11" s="8">
        <v>347162.81486980914</v>
      </c>
      <c r="J11" s="9">
        <v>365067.22711107472</v>
      </c>
      <c r="K11" s="9">
        <v>367475.91</v>
      </c>
      <c r="L11" s="9">
        <v>346789.63</v>
      </c>
      <c r="M11" s="9">
        <v>402861.19</v>
      </c>
      <c r="N11" s="8">
        <f t="shared" si="1"/>
        <v>1279985.1199999999</v>
      </c>
      <c r="O11" s="8">
        <f t="shared" si="1"/>
        <v>1205287.5748698092</v>
      </c>
      <c r="P11" s="8">
        <f t="shared" si="1"/>
        <v>1279267.4771110746</v>
      </c>
      <c r="Q11" s="7">
        <v>451374.42500000005</v>
      </c>
      <c r="R11" s="7">
        <v>438980.09513019089</v>
      </c>
      <c r="S11" s="7">
        <v>409999.67</v>
      </c>
      <c r="T11" s="8">
        <f t="shared" si="2"/>
        <v>1731359.5449999999</v>
      </c>
      <c r="U11" s="8">
        <f t="shared" si="2"/>
        <v>1644267.6700000002</v>
      </c>
      <c r="V11" s="8">
        <f t="shared" si="2"/>
        <v>1689267.1471110745</v>
      </c>
      <c r="W11" s="8">
        <v>496223.98</v>
      </c>
      <c r="X11" s="8">
        <v>514454.66</v>
      </c>
      <c r="Y11" s="8">
        <v>483023.41</v>
      </c>
      <c r="Z11" s="8">
        <f t="shared" si="3"/>
        <v>2227583.5249999999</v>
      </c>
      <c r="AA11" s="8">
        <f t="shared" si="3"/>
        <v>2158722.33</v>
      </c>
      <c r="AB11" s="8">
        <f t="shared" si="3"/>
        <v>2172290.5571110747</v>
      </c>
      <c r="AC11" s="10">
        <f t="shared" si="4"/>
        <v>-13568.227111074608</v>
      </c>
      <c r="AD11" s="8">
        <v>-16442.68</v>
      </c>
      <c r="AE11" s="7">
        <v>-9025.59</v>
      </c>
      <c r="AF11" s="7"/>
      <c r="AG11" s="7"/>
      <c r="AH11" s="7">
        <f>-(6312.6+7855.73)</f>
        <v>-14168.33</v>
      </c>
      <c r="AI11" s="7">
        <f t="shared" si="7"/>
        <v>-23193.919999999998</v>
      </c>
      <c r="AJ11" s="7">
        <v>-1490.94</v>
      </c>
      <c r="AK11" s="7">
        <v>-5066.99</v>
      </c>
      <c r="AL11" s="10">
        <f t="shared" si="5"/>
        <v>-59762.757111074607</v>
      </c>
      <c r="AM11" s="10">
        <f t="shared" si="6"/>
        <v>9098.4378889252257</v>
      </c>
    </row>
    <row r="12" spans="1:39" x14ac:dyDescent="0.25">
      <c r="A12" s="22" t="s">
        <v>17</v>
      </c>
      <c r="B12" s="8">
        <f>140606.51+15996.2+36593.26</f>
        <v>193195.97000000003</v>
      </c>
      <c r="C12" s="8">
        <f>116286.38+13229.41+29897.52</f>
        <v>159413.31</v>
      </c>
      <c r="D12" s="8">
        <f>136196.65+4436.77+40747.38</f>
        <v>181380.8</v>
      </c>
      <c r="E12" s="8">
        <v>250485.5</v>
      </c>
      <c r="F12" s="8">
        <v>211909.38</v>
      </c>
      <c r="G12" s="8">
        <v>236282.1</v>
      </c>
      <c r="H12" s="8">
        <v>272358.99</v>
      </c>
      <c r="I12" s="8">
        <v>242569.10011456319</v>
      </c>
      <c r="J12" s="9">
        <v>287225.46908324066</v>
      </c>
      <c r="K12" s="9">
        <v>282123.57</v>
      </c>
      <c r="L12" s="9">
        <v>254320.68</v>
      </c>
      <c r="M12" s="9">
        <v>302335.48</v>
      </c>
      <c r="N12" s="8">
        <f t="shared" si="1"/>
        <v>998164.03</v>
      </c>
      <c r="O12" s="8">
        <f t="shared" si="1"/>
        <v>868212.47011456313</v>
      </c>
      <c r="P12" s="8">
        <f t="shared" si="1"/>
        <v>1007223.8490832406</v>
      </c>
      <c r="Q12" s="7">
        <v>365024.3</v>
      </c>
      <c r="R12" s="7">
        <v>332505.67988543678</v>
      </c>
      <c r="S12" s="7">
        <v>207032.23</v>
      </c>
      <c r="T12" s="8">
        <f t="shared" si="2"/>
        <v>1363188.33</v>
      </c>
      <c r="U12" s="8">
        <f t="shared" si="2"/>
        <v>1200718.1499999999</v>
      </c>
      <c r="V12" s="8">
        <f t="shared" si="2"/>
        <v>1214256.0790832406</v>
      </c>
      <c r="W12" s="8">
        <v>379068.41</v>
      </c>
      <c r="X12" s="8">
        <v>353441.33</v>
      </c>
      <c r="Y12" s="8">
        <v>290337.23</v>
      </c>
      <c r="Z12" s="8">
        <f t="shared" si="3"/>
        <v>1742256.74</v>
      </c>
      <c r="AA12" s="8">
        <f t="shared" si="3"/>
        <v>1554159.48</v>
      </c>
      <c r="AB12" s="8">
        <f t="shared" si="3"/>
        <v>1504593.3090832406</v>
      </c>
      <c r="AC12" s="10">
        <f t="shared" si="4"/>
        <v>49566.170916759409</v>
      </c>
      <c r="AD12" s="8">
        <v>-12007.18</v>
      </c>
      <c r="AE12" s="7">
        <v>-115646.42</v>
      </c>
      <c r="AF12" s="7">
        <v>-4106.6099999999997</v>
      </c>
      <c r="AG12" s="7">
        <v>-5821.71</v>
      </c>
      <c r="AH12" s="7">
        <f>-(5897.3+7052.93)</f>
        <v>-12950.23</v>
      </c>
      <c r="AI12" s="7">
        <f t="shared" si="7"/>
        <v>-138524.97</v>
      </c>
      <c r="AJ12" s="7">
        <v>-5925.67</v>
      </c>
      <c r="AK12" s="7">
        <v>-4093.79</v>
      </c>
      <c r="AL12" s="10">
        <f t="shared" si="5"/>
        <v>-110985.43908324058</v>
      </c>
      <c r="AM12" s="10">
        <f t="shared" si="6"/>
        <v>77111.820916759432</v>
      </c>
    </row>
    <row r="13" spans="1:39" x14ac:dyDescent="0.25">
      <c r="A13" s="22" t="s">
        <v>18</v>
      </c>
      <c r="B13" s="8">
        <f>140944.87+16034.7+31748.67</f>
        <v>188728.24</v>
      </c>
      <c r="C13" s="8">
        <f>121195.76+13787.92+26776.32</f>
        <v>161760</v>
      </c>
      <c r="D13" s="8">
        <f>139148.08+4449.28+40770.07</f>
        <v>184367.43</v>
      </c>
      <c r="E13" s="8">
        <v>245848.64</v>
      </c>
      <c r="F13" s="8">
        <v>235218.59</v>
      </c>
      <c r="G13" s="8">
        <v>233456.06</v>
      </c>
      <c r="H13" s="8">
        <v>268121.67</v>
      </c>
      <c r="I13" s="8">
        <v>248169.68886217329</v>
      </c>
      <c r="J13" s="9">
        <v>286177.27395137516</v>
      </c>
      <c r="K13" s="9">
        <v>282828.34999999998</v>
      </c>
      <c r="L13" s="9">
        <v>281043.18</v>
      </c>
      <c r="M13" s="9">
        <v>303989.90999999997</v>
      </c>
      <c r="N13" s="8">
        <f t="shared" si="1"/>
        <v>985526.9</v>
      </c>
      <c r="O13" s="8">
        <f t="shared" si="1"/>
        <v>926191.45886217314</v>
      </c>
      <c r="P13" s="8">
        <f t="shared" si="1"/>
        <v>1007990.6739513751</v>
      </c>
      <c r="Q13" s="7">
        <v>365922.6</v>
      </c>
      <c r="R13" s="7">
        <v>357057.77113782673</v>
      </c>
      <c r="S13" s="7">
        <v>202397.36</v>
      </c>
      <c r="T13" s="8">
        <f t="shared" si="2"/>
        <v>1351449.5</v>
      </c>
      <c r="U13" s="8">
        <f t="shared" si="2"/>
        <v>1283249.23</v>
      </c>
      <c r="V13" s="8">
        <f t="shared" si="2"/>
        <v>1210388.0339513752</v>
      </c>
      <c r="W13" s="8">
        <v>371358.14</v>
      </c>
      <c r="X13" s="8">
        <v>407207.37</v>
      </c>
      <c r="Y13" s="8">
        <v>425612.83</v>
      </c>
      <c r="Z13" s="8">
        <f t="shared" si="3"/>
        <v>1722807.6400000001</v>
      </c>
      <c r="AA13" s="8">
        <f t="shared" si="3"/>
        <v>1690456.6</v>
      </c>
      <c r="AB13" s="8">
        <f t="shared" si="3"/>
        <v>1636000.8639513752</v>
      </c>
      <c r="AC13" s="10">
        <f t="shared" si="4"/>
        <v>54455.736048624851</v>
      </c>
      <c r="AD13" s="8">
        <v>-12832.49</v>
      </c>
      <c r="AE13" s="7">
        <v>-43240.29</v>
      </c>
      <c r="AF13" s="7">
        <v>-13313.21</v>
      </c>
      <c r="AG13" s="7">
        <v>-6514.37</v>
      </c>
      <c r="AH13" s="7">
        <v>-7101.68</v>
      </c>
      <c r="AI13" s="7">
        <f t="shared" si="7"/>
        <v>-70169.55</v>
      </c>
      <c r="AJ13" s="7">
        <v>-1485</v>
      </c>
      <c r="AK13" s="7">
        <v>-4105.34</v>
      </c>
      <c r="AL13" s="10">
        <f t="shared" si="5"/>
        <v>-34136.643951375154</v>
      </c>
      <c r="AM13" s="10">
        <f t="shared" si="6"/>
        <v>-1785.6039513751202</v>
      </c>
    </row>
    <row r="14" spans="1:39" x14ac:dyDescent="0.25">
      <c r="A14" s="22" t="s">
        <v>19</v>
      </c>
      <c r="B14" s="8">
        <f>139863.57+15911.7+38188.08</f>
        <v>193963.35000000003</v>
      </c>
      <c r="C14" s="8">
        <f>126455.56+14386.32+34527.18</f>
        <v>175369.06</v>
      </c>
      <c r="D14" s="8">
        <f>136209.4+4413.58+40596.55</f>
        <v>181219.52999999997</v>
      </c>
      <c r="E14" s="8">
        <v>247179.68</v>
      </c>
      <c r="F14" s="8">
        <v>239429.45</v>
      </c>
      <c r="G14" s="8">
        <v>232861.57</v>
      </c>
      <c r="H14" s="8">
        <v>265338.26</v>
      </c>
      <c r="I14" s="8">
        <v>260345.89132479945</v>
      </c>
      <c r="J14" s="9">
        <v>285261.35201060091</v>
      </c>
      <c r="K14" s="9">
        <v>281318.2</v>
      </c>
      <c r="L14" s="9">
        <v>274227.53999999998</v>
      </c>
      <c r="M14" s="9">
        <v>302423.71000000002</v>
      </c>
      <c r="N14" s="8">
        <f t="shared" si="1"/>
        <v>987799.49</v>
      </c>
      <c r="O14" s="8">
        <f t="shared" si="1"/>
        <v>949371.94132479955</v>
      </c>
      <c r="P14" s="8">
        <f t="shared" si="1"/>
        <v>1001766.1620106008</v>
      </c>
      <c r="Q14" s="7">
        <v>363078.95999999996</v>
      </c>
      <c r="R14" s="7">
        <v>358147.14867520053</v>
      </c>
      <c r="S14" s="7">
        <v>57400.65</v>
      </c>
      <c r="T14" s="8">
        <f t="shared" si="2"/>
        <v>1350878.45</v>
      </c>
      <c r="U14" s="8">
        <f t="shared" si="2"/>
        <v>1307519.0900000001</v>
      </c>
      <c r="V14" s="8">
        <f t="shared" si="2"/>
        <v>1059166.8120106007</v>
      </c>
      <c r="W14" s="8">
        <v>385051.01</v>
      </c>
      <c r="X14" s="8">
        <v>372101.12</v>
      </c>
      <c r="Y14" s="8">
        <v>301052.93</v>
      </c>
      <c r="Z14" s="8">
        <f t="shared" si="3"/>
        <v>1735929.46</v>
      </c>
      <c r="AA14" s="8">
        <f t="shared" si="3"/>
        <v>1679620.21</v>
      </c>
      <c r="AB14" s="8">
        <f t="shared" si="3"/>
        <v>1360219.7420106006</v>
      </c>
      <c r="AC14" s="10">
        <f t="shared" si="4"/>
        <v>319400.46798939933</v>
      </c>
      <c r="AD14" s="8">
        <v>-13075.19</v>
      </c>
      <c r="AE14" s="7">
        <v>-10628.76</v>
      </c>
      <c r="AF14" s="7"/>
      <c r="AG14" s="7"/>
      <c r="AH14" s="7">
        <f>-(3885.16+12385.85)</f>
        <v>-16271.01</v>
      </c>
      <c r="AI14" s="7">
        <f t="shared" si="7"/>
        <v>-26899.77</v>
      </c>
      <c r="AJ14" s="7"/>
      <c r="AK14" s="7">
        <v>-4072.4</v>
      </c>
      <c r="AL14" s="10">
        <f t="shared" si="5"/>
        <v>275353.10798939929</v>
      </c>
      <c r="AM14" s="10">
        <f t="shared" si="6"/>
        <v>331662.35798939929</v>
      </c>
    </row>
    <row r="15" spans="1:39" x14ac:dyDescent="0.25">
      <c r="A15" s="22" t="s">
        <v>20</v>
      </c>
      <c r="B15" s="8">
        <f>140007.12+15928+38227.2</f>
        <v>194162.32</v>
      </c>
      <c r="C15" s="8">
        <f>124570.79+14171.89+34012.5</f>
        <v>172755.18</v>
      </c>
      <c r="D15" s="8">
        <f>136982.9+4417.85+40278.84</f>
        <v>181679.59</v>
      </c>
      <c r="E15" s="8">
        <v>241518.99</v>
      </c>
      <c r="F15" s="8">
        <v>235259.9</v>
      </c>
      <c r="G15" s="8">
        <v>233600.42</v>
      </c>
      <c r="H15" s="8">
        <v>268639.18</v>
      </c>
      <c r="I15" s="8">
        <v>261051.25638262206</v>
      </c>
      <c r="J15" s="9">
        <v>285412.83489240299</v>
      </c>
      <c r="K15" s="9">
        <v>281829.88</v>
      </c>
      <c r="L15" s="9">
        <v>274043.26</v>
      </c>
      <c r="M15" s="9">
        <v>303613.02</v>
      </c>
      <c r="N15" s="8">
        <f t="shared" si="1"/>
        <v>986150.37</v>
      </c>
      <c r="O15" s="8">
        <f t="shared" si="1"/>
        <v>943109.59638262202</v>
      </c>
      <c r="P15" s="8">
        <f t="shared" si="1"/>
        <v>1004305.864892403</v>
      </c>
      <c r="Q15" s="7">
        <v>363448</v>
      </c>
      <c r="R15" s="7">
        <v>360180.66361737793</v>
      </c>
      <c r="S15" s="7">
        <v>149303.1</v>
      </c>
      <c r="T15" s="8">
        <f t="shared" si="2"/>
        <v>1349598.37</v>
      </c>
      <c r="U15" s="8">
        <f t="shared" si="2"/>
        <v>1303290.26</v>
      </c>
      <c r="V15" s="8">
        <f t="shared" si="2"/>
        <v>1153608.964892403</v>
      </c>
      <c r="W15" s="8">
        <v>386128.35</v>
      </c>
      <c r="X15" s="8">
        <v>372291.24</v>
      </c>
      <c r="Y15" s="8">
        <v>298768.46000000002</v>
      </c>
      <c r="Z15" s="8">
        <f t="shared" si="3"/>
        <v>1735726.7200000002</v>
      </c>
      <c r="AA15" s="8">
        <f t="shared" si="3"/>
        <v>1675581.5</v>
      </c>
      <c r="AB15" s="8">
        <f t="shared" si="3"/>
        <v>1452377.424892403</v>
      </c>
      <c r="AC15" s="10">
        <f t="shared" si="4"/>
        <v>223204.07510759705</v>
      </c>
      <c r="AD15" s="8">
        <v>-13032.9</v>
      </c>
      <c r="AE15" s="7"/>
      <c r="AF15" s="7"/>
      <c r="AG15" s="7"/>
      <c r="AH15" s="7"/>
      <c r="AI15" s="7">
        <f t="shared" si="7"/>
        <v>0</v>
      </c>
      <c r="AJ15" s="7">
        <v>-322.76</v>
      </c>
      <c r="AK15" s="7">
        <v>-4076.34</v>
      </c>
      <c r="AL15" s="10">
        <f t="shared" si="5"/>
        <v>205772.07510759705</v>
      </c>
      <c r="AM15" s="10">
        <f t="shared" si="6"/>
        <v>265917.29510759719</v>
      </c>
    </row>
    <row r="16" spans="1:39" x14ac:dyDescent="0.25">
      <c r="A16" s="22" t="s">
        <v>21</v>
      </c>
      <c r="B16" s="8">
        <f>141090.29+16051.2+38522.88</f>
        <v>195664.37000000002</v>
      </c>
      <c r="C16" s="8">
        <f>126843.11+14430.38+34632.87</f>
        <v>175906.36</v>
      </c>
      <c r="D16" s="8">
        <f>137947.05+4452.03+40221.76</f>
        <v>182620.84</v>
      </c>
      <c r="E16" s="8">
        <v>245650.09</v>
      </c>
      <c r="F16" s="8">
        <v>236839.24</v>
      </c>
      <c r="G16" s="8">
        <v>240217.26</v>
      </c>
      <c r="H16" s="8">
        <v>278400.78999999998</v>
      </c>
      <c r="I16" s="8">
        <v>282433.17701262055</v>
      </c>
      <c r="J16" s="9">
        <v>295924.68794681941</v>
      </c>
      <c r="K16" s="9">
        <v>293477.5</v>
      </c>
      <c r="L16" s="9">
        <v>282552.62</v>
      </c>
      <c r="M16" s="9">
        <v>313786.31</v>
      </c>
      <c r="N16" s="8">
        <f t="shared" si="1"/>
        <v>1013192.75</v>
      </c>
      <c r="O16" s="8">
        <f t="shared" si="1"/>
        <v>977731.39701262058</v>
      </c>
      <c r="P16" s="8">
        <f t="shared" si="1"/>
        <v>1032549.0979468194</v>
      </c>
      <c r="Q16" s="7">
        <v>366370.3</v>
      </c>
      <c r="R16" s="7">
        <v>362706.22298737941</v>
      </c>
      <c r="S16" s="7">
        <v>58531.360000000001</v>
      </c>
      <c r="T16" s="8">
        <f t="shared" si="2"/>
        <v>1379563.05</v>
      </c>
      <c r="U16" s="8">
        <f t="shared" si="2"/>
        <v>1340437.6200000001</v>
      </c>
      <c r="V16" s="8">
        <f t="shared" si="2"/>
        <v>1091080.4579468195</v>
      </c>
      <c r="W16" s="8">
        <v>397941.55</v>
      </c>
      <c r="X16" s="8">
        <v>395845.2</v>
      </c>
      <c r="Y16" s="8">
        <v>317423.71000000002</v>
      </c>
      <c r="Z16" s="8">
        <f t="shared" si="3"/>
        <v>1777504.6</v>
      </c>
      <c r="AA16" s="8">
        <f t="shared" si="3"/>
        <v>1736282.82</v>
      </c>
      <c r="AB16" s="8">
        <f t="shared" si="3"/>
        <v>1408504.1679468194</v>
      </c>
      <c r="AC16" s="10">
        <f t="shared" si="4"/>
        <v>327778.65205318062</v>
      </c>
      <c r="AD16" s="8">
        <v>-13404.38</v>
      </c>
      <c r="AE16" s="7"/>
      <c r="AF16" s="7"/>
      <c r="AG16" s="7"/>
      <c r="AH16" s="7"/>
      <c r="AI16" s="7">
        <f t="shared" si="7"/>
        <v>0</v>
      </c>
      <c r="AJ16" s="7">
        <v>-1200</v>
      </c>
      <c r="AK16" s="7">
        <v>-4107.87</v>
      </c>
      <c r="AL16" s="10">
        <f t="shared" si="5"/>
        <v>309066.40205318062</v>
      </c>
      <c r="AM16" s="10">
        <f t="shared" si="6"/>
        <v>350288.18205318064</v>
      </c>
    </row>
    <row r="17" spans="1:39" x14ac:dyDescent="0.25">
      <c r="A17" s="22" t="s">
        <v>22</v>
      </c>
      <c r="B17" s="8">
        <v>2147.12</v>
      </c>
      <c r="C17" s="8">
        <v>0</v>
      </c>
      <c r="D17" s="8">
        <v>2127.92</v>
      </c>
      <c r="E17" s="8">
        <v>5895.17</v>
      </c>
      <c r="F17" s="8">
        <v>2322.21</v>
      </c>
      <c r="G17" s="8">
        <v>5033.82</v>
      </c>
      <c r="H17" s="8">
        <v>4359.84</v>
      </c>
      <c r="I17" s="8">
        <v>0</v>
      </c>
      <c r="J17" s="9">
        <v>8374.4470626750535</v>
      </c>
      <c r="K17" s="9">
        <v>3212.84</v>
      </c>
      <c r="L17" s="9"/>
      <c r="M17" s="9">
        <v>3624.99</v>
      </c>
      <c r="N17" s="8">
        <f t="shared" si="1"/>
        <v>15614.970000000001</v>
      </c>
      <c r="O17" s="8">
        <f t="shared" si="1"/>
        <v>2322.21</v>
      </c>
      <c r="P17" s="8">
        <f t="shared" si="1"/>
        <v>19161.177062675051</v>
      </c>
      <c r="Q17" s="7"/>
      <c r="R17" s="7"/>
      <c r="S17" s="7"/>
      <c r="T17" s="8">
        <f t="shared" si="2"/>
        <v>15614.970000000001</v>
      </c>
      <c r="U17" s="8">
        <f t="shared" si="2"/>
        <v>2322.21</v>
      </c>
      <c r="V17" s="8">
        <f t="shared" si="2"/>
        <v>19161.177062675051</v>
      </c>
      <c r="W17" s="8">
        <v>1607.04</v>
      </c>
      <c r="X17" s="8"/>
      <c r="Y17" s="8">
        <v>4004.46</v>
      </c>
      <c r="Z17" s="8">
        <f t="shared" si="3"/>
        <v>17222.010000000002</v>
      </c>
      <c r="AA17" s="8">
        <f t="shared" si="3"/>
        <v>2322.21</v>
      </c>
      <c r="AB17" s="8">
        <f t="shared" si="3"/>
        <v>23165.63706267505</v>
      </c>
      <c r="AC17" s="10">
        <f t="shared" si="4"/>
        <v>-20843.427062675051</v>
      </c>
      <c r="AD17" s="8">
        <f t="shared" si="0"/>
        <v>-23.222100000000001</v>
      </c>
      <c r="AE17" s="7"/>
      <c r="AF17" s="7"/>
      <c r="AG17" s="7"/>
      <c r="AH17" s="7">
        <v>-2094.73</v>
      </c>
      <c r="AI17" s="7">
        <f t="shared" si="7"/>
        <v>-2094.73</v>
      </c>
      <c r="AJ17" s="7">
        <v>-590</v>
      </c>
      <c r="AK17" s="7">
        <v>-164.97</v>
      </c>
      <c r="AL17" s="10">
        <f t="shared" si="5"/>
        <v>-23716.349162675051</v>
      </c>
      <c r="AM17" s="10">
        <f t="shared" si="6"/>
        <v>-8816.5491626750481</v>
      </c>
    </row>
    <row r="18" spans="1:39" x14ac:dyDescent="0.25">
      <c r="A18" s="22" t="s">
        <v>23</v>
      </c>
      <c r="B18" s="8">
        <v>1232.46</v>
      </c>
      <c r="C18" s="8">
        <v>547.76</v>
      </c>
      <c r="D18" s="8">
        <v>1133.5</v>
      </c>
      <c r="E18" s="8">
        <v>2167.14</v>
      </c>
      <c r="F18" s="8">
        <v>2304.67</v>
      </c>
      <c r="G18" s="8">
        <v>2568.4499999999998</v>
      </c>
      <c r="H18" s="8">
        <v>2224.56</v>
      </c>
      <c r="I18" s="8">
        <v>2199.3000000000002</v>
      </c>
      <c r="J18" s="9">
        <v>4273.0183988734489</v>
      </c>
      <c r="K18" s="9">
        <v>2260.46</v>
      </c>
      <c r="L18" s="9">
        <v>11422.92</v>
      </c>
      <c r="M18" s="9">
        <v>1861.12</v>
      </c>
      <c r="N18" s="8">
        <f t="shared" si="1"/>
        <v>7884.62</v>
      </c>
      <c r="O18" s="8">
        <f t="shared" si="1"/>
        <v>16474.650000000001</v>
      </c>
      <c r="P18" s="8">
        <f t="shared" si="1"/>
        <v>9836.0883988734495</v>
      </c>
      <c r="Q18" s="7"/>
      <c r="R18" s="7"/>
      <c r="S18" s="7"/>
      <c r="T18" s="8">
        <f t="shared" si="2"/>
        <v>7884.62</v>
      </c>
      <c r="U18" s="8">
        <f t="shared" si="2"/>
        <v>16474.650000000001</v>
      </c>
      <c r="V18" s="8">
        <f t="shared" si="2"/>
        <v>9836.0883988734495</v>
      </c>
      <c r="W18" s="8">
        <v>2310.7199999999998</v>
      </c>
      <c r="X18" s="8">
        <v>3800</v>
      </c>
      <c r="Y18" s="8">
        <v>2118.96</v>
      </c>
      <c r="Z18" s="8">
        <f t="shared" si="3"/>
        <v>10195.34</v>
      </c>
      <c r="AA18" s="8">
        <f t="shared" si="3"/>
        <v>20274.650000000001</v>
      </c>
      <c r="AB18" s="8">
        <f t="shared" si="3"/>
        <v>11955.048398873449</v>
      </c>
      <c r="AC18" s="10">
        <f t="shared" si="4"/>
        <v>8319.6016011265529</v>
      </c>
      <c r="AD18" s="8">
        <v>-164.75</v>
      </c>
      <c r="AE18" s="7"/>
      <c r="AF18" s="7"/>
      <c r="AG18" s="7"/>
      <c r="AH18" s="7"/>
      <c r="AI18" s="7">
        <f t="shared" si="7"/>
        <v>0</v>
      </c>
      <c r="AJ18" s="7"/>
      <c r="AK18" s="7">
        <v>-84.17</v>
      </c>
      <c r="AL18" s="10">
        <f t="shared" si="5"/>
        <v>8070.6816011265528</v>
      </c>
      <c r="AM18" s="10">
        <f t="shared" si="6"/>
        <v>-2008.6283988734485</v>
      </c>
    </row>
    <row r="19" spans="1:39" x14ac:dyDescent="0.25">
      <c r="A19" s="22" t="s">
        <v>24</v>
      </c>
      <c r="B19" s="8">
        <v>1838.43</v>
      </c>
      <c r="C19" s="8">
        <v>1429.89</v>
      </c>
      <c r="D19" s="8">
        <v>1690.79</v>
      </c>
      <c r="E19" s="8">
        <v>3232.62</v>
      </c>
      <c r="F19" s="8">
        <v>3204.08</v>
      </c>
      <c r="G19" s="8">
        <v>3831.2</v>
      </c>
      <c r="H19" s="8">
        <v>3318.24</v>
      </c>
      <c r="I19" s="8">
        <v>3594.76</v>
      </c>
      <c r="J19" s="9">
        <v>6373.710153503539</v>
      </c>
      <c r="K19" s="9">
        <v>3371.74</v>
      </c>
      <c r="L19" s="9">
        <v>3361.04</v>
      </c>
      <c r="M19" s="9">
        <v>2776.2</v>
      </c>
      <c r="N19" s="8">
        <f t="shared" si="1"/>
        <v>11761.03</v>
      </c>
      <c r="O19" s="8">
        <f t="shared" si="1"/>
        <v>11589.77</v>
      </c>
      <c r="P19" s="8">
        <f t="shared" si="1"/>
        <v>14671.900153503539</v>
      </c>
      <c r="Q19" s="7"/>
      <c r="R19" s="7"/>
      <c r="S19" s="7"/>
      <c r="T19" s="8">
        <f t="shared" si="2"/>
        <v>11761.03</v>
      </c>
      <c r="U19" s="8">
        <f t="shared" si="2"/>
        <v>11589.77</v>
      </c>
      <c r="V19" s="8">
        <f t="shared" si="2"/>
        <v>14671.900153503539</v>
      </c>
      <c r="W19" s="8">
        <v>3446.64</v>
      </c>
      <c r="X19" s="8">
        <v>3994</v>
      </c>
      <c r="Y19" s="8">
        <v>3129.05</v>
      </c>
      <c r="Z19" s="8">
        <f t="shared" si="3"/>
        <v>15207.67</v>
      </c>
      <c r="AA19" s="8">
        <f t="shared" si="3"/>
        <v>15583.77</v>
      </c>
      <c r="AB19" s="8">
        <f t="shared" si="3"/>
        <v>17800.950153503538</v>
      </c>
      <c r="AC19" s="10">
        <f t="shared" si="4"/>
        <v>-2217.1801535035374</v>
      </c>
      <c r="AD19" s="8">
        <v>-115.9</v>
      </c>
      <c r="AE19" s="7"/>
      <c r="AF19" s="7"/>
      <c r="AG19" s="7"/>
      <c r="AH19" s="7"/>
      <c r="AI19" s="7">
        <f t="shared" si="7"/>
        <v>0</v>
      </c>
      <c r="AJ19" s="7"/>
      <c r="AK19" s="7">
        <v>-125.56</v>
      </c>
      <c r="AL19" s="10">
        <f t="shared" si="5"/>
        <v>-2458.6401535035375</v>
      </c>
      <c r="AM19" s="10">
        <f t="shared" si="6"/>
        <v>-2834.7401535035378</v>
      </c>
    </row>
    <row r="20" spans="1:39" x14ac:dyDescent="0.25">
      <c r="A20" s="22" t="s">
        <v>25</v>
      </c>
      <c r="B20" s="8">
        <v>5266.44</v>
      </c>
      <c r="C20" s="8">
        <v>4969.83</v>
      </c>
      <c r="D20" s="8">
        <v>3855.96</v>
      </c>
      <c r="E20" s="8">
        <v>8586.9</v>
      </c>
      <c r="F20" s="8">
        <v>8205.6</v>
      </c>
      <c r="G20" s="8">
        <v>7370.34</v>
      </c>
      <c r="H20" s="8">
        <v>8813.4</v>
      </c>
      <c r="I20" s="8">
        <v>8813.4</v>
      </c>
      <c r="J20" s="9">
        <v>12261.581057636851</v>
      </c>
      <c r="K20" s="9">
        <v>8959.25</v>
      </c>
      <c r="L20" s="9">
        <v>9321.68</v>
      </c>
      <c r="M20" s="9">
        <v>5386.99</v>
      </c>
      <c r="N20" s="8">
        <f t="shared" si="1"/>
        <v>31625.989999999998</v>
      </c>
      <c r="O20" s="8">
        <f t="shared" si="1"/>
        <v>31310.510000000002</v>
      </c>
      <c r="P20" s="8">
        <f t="shared" si="1"/>
        <v>28874.871057636847</v>
      </c>
      <c r="Q20" s="7"/>
      <c r="R20" s="7"/>
      <c r="S20" s="7"/>
      <c r="T20" s="8">
        <f t="shared" si="2"/>
        <v>31625.989999999998</v>
      </c>
      <c r="U20" s="8">
        <f t="shared" si="2"/>
        <v>31310.510000000002</v>
      </c>
      <c r="V20" s="8">
        <f t="shared" si="2"/>
        <v>28874.871057636847</v>
      </c>
      <c r="W20" s="8">
        <v>9163.44</v>
      </c>
      <c r="X20" s="8">
        <v>10580.24</v>
      </c>
      <c r="Y20" s="8">
        <v>6095.69</v>
      </c>
      <c r="Z20" s="8">
        <f t="shared" si="3"/>
        <v>40789.43</v>
      </c>
      <c r="AA20" s="8">
        <f t="shared" si="3"/>
        <v>41890.75</v>
      </c>
      <c r="AB20" s="8">
        <f t="shared" si="3"/>
        <v>34970.561057636849</v>
      </c>
      <c r="AC20" s="10">
        <f t="shared" si="4"/>
        <v>6920.188942363151</v>
      </c>
      <c r="AD20" s="8">
        <v>-313.11</v>
      </c>
      <c r="AE20" s="7"/>
      <c r="AF20" s="7"/>
      <c r="AG20" s="7"/>
      <c r="AH20" s="7"/>
      <c r="AI20" s="7">
        <f t="shared" si="7"/>
        <v>0</v>
      </c>
      <c r="AJ20" s="7"/>
      <c r="AK20" s="7">
        <v>-241.54</v>
      </c>
      <c r="AL20" s="10">
        <f t="shared" si="5"/>
        <v>6365.5389423631514</v>
      </c>
      <c r="AM20" s="10">
        <f t="shared" si="6"/>
        <v>5264.2189423631517</v>
      </c>
    </row>
    <row r="21" spans="1:39" x14ac:dyDescent="0.25">
      <c r="A21" s="22" t="s">
        <v>26</v>
      </c>
      <c r="B21" s="8">
        <f>65498.4+7920+17582.4</f>
        <v>91000.799999999988</v>
      </c>
      <c r="C21" s="8">
        <f>50935.25+6159.04+13673.02</f>
        <v>70767.31</v>
      </c>
      <c r="D21" s="8">
        <f>66561.57+2205.27+13671.59</f>
        <v>82438.430000000008</v>
      </c>
      <c r="E21" s="8">
        <v>119493.58</v>
      </c>
      <c r="F21" s="8">
        <v>100237.42</v>
      </c>
      <c r="G21" s="8">
        <v>115282.11</v>
      </c>
      <c r="H21" s="8">
        <v>129482.04999999999</v>
      </c>
      <c r="I21" s="8">
        <v>101143.98444196407</v>
      </c>
      <c r="J21" s="9">
        <v>142729.98211894257</v>
      </c>
      <c r="K21" s="9">
        <v>135092.29999999999</v>
      </c>
      <c r="L21" s="9">
        <v>115697.36</v>
      </c>
      <c r="M21" s="9">
        <v>152996.69</v>
      </c>
      <c r="N21" s="8">
        <f t="shared" si="1"/>
        <v>475068.73</v>
      </c>
      <c r="O21" s="8">
        <f t="shared" si="1"/>
        <v>387846.07444196404</v>
      </c>
      <c r="P21" s="8">
        <f t="shared" si="1"/>
        <v>493447.21211894258</v>
      </c>
      <c r="Q21" s="7">
        <v>180778.05</v>
      </c>
      <c r="R21" s="7">
        <v>156196.72555803595</v>
      </c>
      <c r="S21" s="7">
        <v>154830.87999999998</v>
      </c>
      <c r="T21" s="8">
        <f t="shared" si="2"/>
        <v>655846.78</v>
      </c>
      <c r="U21" s="8">
        <f t="shared" si="2"/>
        <v>544042.80000000005</v>
      </c>
      <c r="V21" s="8">
        <f t="shared" si="2"/>
        <v>648278.09211894253</v>
      </c>
      <c r="W21" s="8">
        <v>187823.14</v>
      </c>
      <c r="X21" s="8">
        <v>150906.65</v>
      </c>
      <c r="Y21" s="8">
        <v>158095.04999999999</v>
      </c>
      <c r="Z21" s="8">
        <f t="shared" si="3"/>
        <v>843669.92</v>
      </c>
      <c r="AA21" s="8">
        <f t="shared" si="3"/>
        <v>694949.45000000007</v>
      </c>
      <c r="AB21" s="8">
        <f t="shared" si="3"/>
        <v>806373.14211894246</v>
      </c>
      <c r="AC21" s="10">
        <f t="shared" si="4"/>
        <v>-111423.69211894239</v>
      </c>
      <c r="AD21" s="8">
        <v>-5440.43</v>
      </c>
      <c r="AE21" s="7">
        <v>-90211.66</v>
      </c>
      <c r="AF21" s="7">
        <v>-10598.32</v>
      </c>
      <c r="AG21" s="7">
        <v>-10676.75</v>
      </c>
      <c r="AH21" s="7">
        <f>-(5522.76+5105.76)</f>
        <v>-10628.52</v>
      </c>
      <c r="AI21" s="7">
        <f t="shared" si="7"/>
        <v>-122115.25</v>
      </c>
      <c r="AJ21" s="7">
        <v>-4853.1400000000003</v>
      </c>
      <c r="AK21" s="7">
        <v>-2034.79</v>
      </c>
      <c r="AL21" s="10">
        <f t="shared" si="5"/>
        <v>-245867.3021189424</v>
      </c>
      <c r="AM21" s="10">
        <f t="shared" si="6"/>
        <v>-97146.832118942402</v>
      </c>
    </row>
    <row r="22" spans="1:39" x14ac:dyDescent="0.25">
      <c r="A22" s="22" t="s">
        <v>27</v>
      </c>
      <c r="B22" s="8">
        <f>66162.47+8000.3+17760.71</f>
        <v>91923.48000000001</v>
      </c>
      <c r="C22" s="8">
        <f>53864.49+6263.29+14407.4</f>
        <v>74535.179999999993</v>
      </c>
      <c r="D22" s="8">
        <f>69853.67+2219.3+13671.59</f>
        <v>85744.56</v>
      </c>
      <c r="E22" s="8">
        <v>113354.34</v>
      </c>
      <c r="F22" s="8">
        <v>105467.55</v>
      </c>
      <c r="G22" s="8">
        <v>116086.92</v>
      </c>
      <c r="H22" s="8">
        <v>130168.87999999998</v>
      </c>
      <c r="I22" s="8">
        <v>111251.61929815818</v>
      </c>
      <c r="J22" s="9">
        <v>143842.36587343502</v>
      </c>
      <c r="K22" s="9">
        <v>137297.53</v>
      </c>
      <c r="L22" s="9">
        <v>113685.69</v>
      </c>
      <c r="M22" s="9">
        <v>157760.24</v>
      </c>
      <c r="N22" s="8">
        <f t="shared" si="1"/>
        <v>472744.23</v>
      </c>
      <c r="O22" s="8">
        <f t="shared" si="1"/>
        <v>404940.0392981582</v>
      </c>
      <c r="P22" s="8">
        <f t="shared" si="1"/>
        <v>503434.08587343502</v>
      </c>
      <c r="Q22" s="7">
        <v>182558.88500000001</v>
      </c>
      <c r="R22" s="7">
        <v>161781.11070184183</v>
      </c>
      <c r="S22" s="7">
        <v>89122.23</v>
      </c>
      <c r="T22" s="8">
        <f t="shared" si="2"/>
        <v>655303.11499999999</v>
      </c>
      <c r="U22" s="8">
        <f t="shared" si="2"/>
        <v>566721.15</v>
      </c>
      <c r="V22" s="8">
        <f t="shared" si="2"/>
        <v>592556.315873435</v>
      </c>
      <c r="W22" s="8">
        <v>190314.23</v>
      </c>
      <c r="X22" s="8">
        <v>183589.69</v>
      </c>
      <c r="Y22" s="8">
        <v>152690.10999999999</v>
      </c>
      <c r="Z22" s="8">
        <f t="shared" si="3"/>
        <v>845617.34499999997</v>
      </c>
      <c r="AA22" s="8">
        <f t="shared" si="3"/>
        <v>750310.84000000008</v>
      </c>
      <c r="AB22" s="8">
        <f t="shared" si="3"/>
        <v>745246.42587343499</v>
      </c>
      <c r="AC22" s="10">
        <f t="shared" si="4"/>
        <v>5064.4141265650978</v>
      </c>
      <c r="AD22" s="8">
        <v>-5667.21</v>
      </c>
      <c r="AE22" s="7">
        <v>-59150.06</v>
      </c>
      <c r="AF22" s="7"/>
      <c r="AG22" s="7"/>
      <c r="AH22" s="7">
        <v>-12455.33</v>
      </c>
      <c r="AI22" s="7">
        <f t="shared" si="7"/>
        <v>-71605.39</v>
      </c>
      <c r="AJ22" s="7">
        <v>-4442.3</v>
      </c>
      <c r="AK22" s="7">
        <v>-2047.74</v>
      </c>
      <c r="AL22" s="10">
        <f t="shared" si="5"/>
        <v>-78698.225873434916</v>
      </c>
      <c r="AM22" s="10">
        <f t="shared" si="6"/>
        <v>16608.279126564979</v>
      </c>
    </row>
    <row r="23" spans="1:39" x14ac:dyDescent="0.25">
      <c r="A23" s="22" t="s">
        <v>28</v>
      </c>
      <c r="B23" s="8">
        <f>65926.08+7971.7+17697.24</f>
        <v>91595.02</v>
      </c>
      <c r="C23" s="8">
        <f>53684.07+6491.41+14410.97</f>
        <v>74586.45</v>
      </c>
      <c r="D23" s="8">
        <f>66750.91+2211.06+13463.97</f>
        <v>82425.94</v>
      </c>
      <c r="E23" s="8">
        <v>117779.59</v>
      </c>
      <c r="F23" s="8">
        <v>112749.16</v>
      </c>
      <c r="G23" s="8">
        <v>117760.49</v>
      </c>
      <c r="H23" s="8">
        <v>130535.02</v>
      </c>
      <c r="I23" s="8">
        <v>122078.47320844029</v>
      </c>
      <c r="J23" s="9">
        <v>145872.49388710252</v>
      </c>
      <c r="K23" s="9">
        <v>137063.73000000001</v>
      </c>
      <c r="L23" s="9">
        <v>143954.69</v>
      </c>
      <c r="M23" s="9">
        <v>155669.41</v>
      </c>
      <c r="N23" s="8">
        <f t="shared" si="1"/>
        <v>476973.36</v>
      </c>
      <c r="O23" s="8">
        <f t="shared" si="1"/>
        <v>453368.77320844028</v>
      </c>
      <c r="P23" s="8">
        <f t="shared" si="1"/>
        <v>501728.33388710255</v>
      </c>
      <c r="Q23" s="7">
        <v>181899.7</v>
      </c>
      <c r="R23" s="7">
        <v>177258.55679155971</v>
      </c>
      <c r="S23" s="7">
        <v>55434.770000000004</v>
      </c>
      <c r="T23" s="8">
        <f t="shared" si="2"/>
        <v>658873.06000000006</v>
      </c>
      <c r="U23" s="8">
        <f t="shared" si="2"/>
        <v>630627.32999999996</v>
      </c>
      <c r="V23" s="8">
        <f t="shared" si="2"/>
        <v>557163.10388710257</v>
      </c>
      <c r="W23" s="8">
        <v>190275.92</v>
      </c>
      <c r="X23" s="8">
        <v>183931.56</v>
      </c>
      <c r="Y23" s="8">
        <v>153112.48000000001</v>
      </c>
      <c r="Z23" s="8">
        <f t="shared" si="3"/>
        <v>849148.9800000001</v>
      </c>
      <c r="AA23" s="8">
        <f t="shared" si="3"/>
        <v>814558.8899999999</v>
      </c>
      <c r="AB23" s="8">
        <f t="shared" si="3"/>
        <v>710275.58388710255</v>
      </c>
      <c r="AC23" s="10">
        <f t="shared" si="4"/>
        <v>104283.30611289735</v>
      </c>
      <c r="AD23" s="8">
        <v>-6306.27</v>
      </c>
      <c r="AE23" s="7">
        <v>-40672.46</v>
      </c>
      <c r="AF23" s="7"/>
      <c r="AG23" s="7"/>
      <c r="AH23" s="7">
        <v>-7427.12</v>
      </c>
      <c r="AI23" s="7">
        <f t="shared" si="7"/>
        <v>-48099.58</v>
      </c>
      <c r="AJ23" s="7">
        <v>-3349.62</v>
      </c>
      <c r="AK23" s="7">
        <v>-2040.14</v>
      </c>
      <c r="AL23" s="10">
        <f t="shared" si="5"/>
        <v>44487.696112897342</v>
      </c>
      <c r="AM23" s="10">
        <f t="shared" si="6"/>
        <v>79077.786112897564</v>
      </c>
    </row>
    <row r="24" spans="1:39" x14ac:dyDescent="0.25">
      <c r="A24" s="22" t="s">
        <v>29</v>
      </c>
      <c r="B24" s="8">
        <v>2400.64</v>
      </c>
      <c r="C24" s="8">
        <v>0</v>
      </c>
      <c r="D24" s="8">
        <v>1872.75</v>
      </c>
      <c r="E24" s="8">
        <v>4403.5200000000004</v>
      </c>
      <c r="F24" s="8"/>
      <c r="G24" s="8">
        <v>3779.66</v>
      </c>
      <c r="H24" s="8">
        <v>4519.68</v>
      </c>
      <c r="I24" s="8">
        <v>12498.91</v>
      </c>
      <c r="J24" s="9">
        <v>6288.0002859676151</v>
      </c>
      <c r="K24" s="9">
        <v>1015.22</v>
      </c>
      <c r="L24" s="9">
        <v>-503.05</v>
      </c>
      <c r="M24" s="9">
        <v>2694.55</v>
      </c>
      <c r="N24" s="8">
        <f t="shared" si="1"/>
        <v>12339.06</v>
      </c>
      <c r="O24" s="8">
        <f t="shared" si="1"/>
        <v>11995.86</v>
      </c>
      <c r="P24" s="8">
        <f t="shared" si="1"/>
        <v>14634.960285967616</v>
      </c>
      <c r="Q24" s="7"/>
      <c r="R24" s="7"/>
      <c r="S24" s="7"/>
      <c r="T24" s="8">
        <f t="shared" si="2"/>
        <v>12339.06</v>
      </c>
      <c r="U24" s="8">
        <f t="shared" si="2"/>
        <v>11995.86</v>
      </c>
      <c r="V24" s="8">
        <f t="shared" si="2"/>
        <v>14634.960285967616</v>
      </c>
      <c r="W24" s="8"/>
      <c r="X24" s="8"/>
      <c r="Y24" s="8"/>
      <c r="Z24" s="8">
        <f t="shared" si="3"/>
        <v>12339.06</v>
      </c>
      <c r="AA24" s="8">
        <f t="shared" si="3"/>
        <v>11995.86</v>
      </c>
      <c r="AB24" s="8">
        <f t="shared" si="3"/>
        <v>14634.960285967616</v>
      </c>
      <c r="AC24" s="10">
        <f t="shared" si="4"/>
        <v>-2639.1002859676155</v>
      </c>
      <c r="AD24" s="8">
        <f t="shared" si="0"/>
        <v>-119.9586</v>
      </c>
      <c r="AE24" s="7"/>
      <c r="AF24" s="7"/>
      <c r="AG24" s="7"/>
      <c r="AH24" s="7"/>
      <c r="AI24" s="7"/>
      <c r="AJ24" s="7">
        <v>-343.77</v>
      </c>
      <c r="AK24" s="7">
        <v>-123.87</v>
      </c>
      <c r="AL24" s="10">
        <f t="shared" si="5"/>
        <v>-3226.6988859676153</v>
      </c>
      <c r="AM24" s="10">
        <f t="shared" si="6"/>
        <v>-2883.4988859676164</v>
      </c>
    </row>
    <row r="25" spans="1:39" x14ac:dyDescent="0.25">
      <c r="A25" s="22" t="s">
        <v>30</v>
      </c>
      <c r="B25" s="8">
        <v>1683</v>
      </c>
      <c r="C25" s="8">
        <v>1496</v>
      </c>
      <c r="D25" s="8">
        <v>2587.33</v>
      </c>
      <c r="E25" s="8">
        <v>2948.54</v>
      </c>
      <c r="F25" s="8">
        <v>3029.18</v>
      </c>
      <c r="G25" s="8">
        <v>7301.62</v>
      </c>
      <c r="K25" s="11"/>
      <c r="N25" s="8">
        <f t="shared" si="1"/>
        <v>4631.54</v>
      </c>
      <c r="O25" s="8">
        <f t="shared" si="1"/>
        <v>4525.18</v>
      </c>
      <c r="P25" s="8">
        <f t="shared" si="1"/>
        <v>9888.9500000000007</v>
      </c>
      <c r="Q25" s="7"/>
      <c r="R25" s="7"/>
      <c r="S25" s="7"/>
      <c r="T25" s="8">
        <f t="shared" si="2"/>
        <v>4631.54</v>
      </c>
      <c r="U25" s="8">
        <f t="shared" si="2"/>
        <v>4525.18</v>
      </c>
      <c r="V25" s="8">
        <f t="shared" si="2"/>
        <v>9888.9500000000007</v>
      </c>
      <c r="W25" s="8"/>
      <c r="X25" s="8"/>
      <c r="Y25" s="8"/>
      <c r="Z25" s="8">
        <f t="shared" si="3"/>
        <v>4631.54</v>
      </c>
      <c r="AA25" s="8">
        <f t="shared" si="3"/>
        <v>4525.18</v>
      </c>
      <c r="AB25" s="8">
        <f t="shared" si="3"/>
        <v>9888.9500000000007</v>
      </c>
      <c r="AC25" s="10">
        <f t="shared" si="4"/>
        <v>-5363.77</v>
      </c>
      <c r="AD25" s="8">
        <f t="shared" si="0"/>
        <v>-45.251800000000003</v>
      </c>
      <c r="AE25" s="7"/>
      <c r="AF25" s="7"/>
      <c r="AG25" s="7"/>
      <c r="AH25" s="7"/>
      <c r="AI25" s="7"/>
      <c r="AJ25" s="7"/>
      <c r="AK25" s="7">
        <v>-119.5</v>
      </c>
      <c r="AL25" s="10">
        <f t="shared" si="5"/>
        <v>-5528.5218000000004</v>
      </c>
      <c r="AM25" s="10">
        <f t="shared" si="6"/>
        <v>-5422.1618000000008</v>
      </c>
    </row>
    <row r="26" spans="1:39" x14ac:dyDescent="0.25">
      <c r="A26" s="22" t="s">
        <v>31</v>
      </c>
      <c r="B26" s="8">
        <v>4801.28</v>
      </c>
      <c r="C26" s="8">
        <v>2100.56</v>
      </c>
      <c r="D26" s="8">
        <v>3745.5</v>
      </c>
      <c r="E26" s="8">
        <v>8807.0400000000009</v>
      </c>
      <c r="F26" s="8">
        <v>4384.13</v>
      </c>
      <c r="G26" s="8">
        <v>7559.33</v>
      </c>
      <c r="H26" s="8">
        <v>9039.36</v>
      </c>
      <c r="I26" s="8">
        <v>3122.66</v>
      </c>
      <c r="J26" s="9">
        <v>12576.00057193523</v>
      </c>
      <c r="K26" s="9">
        <v>9188.9599999999991</v>
      </c>
      <c r="L26" s="9">
        <v>21156.54</v>
      </c>
      <c r="M26" s="11">
        <v>5525.13</v>
      </c>
      <c r="N26" s="8">
        <f t="shared" si="1"/>
        <v>31836.639999999999</v>
      </c>
      <c r="O26" s="8">
        <f t="shared" si="1"/>
        <v>30763.89</v>
      </c>
      <c r="P26" s="8">
        <f t="shared" si="1"/>
        <v>29405.960571935229</v>
      </c>
      <c r="Q26" s="7"/>
      <c r="R26" s="7"/>
      <c r="S26" s="7"/>
      <c r="T26" s="8">
        <f t="shared" si="2"/>
        <v>31836.639999999999</v>
      </c>
      <c r="U26" s="8">
        <f t="shared" si="2"/>
        <v>30763.89</v>
      </c>
      <c r="V26" s="8">
        <f t="shared" si="2"/>
        <v>29405.960571935229</v>
      </c>
      <c r="W26" s="8">
        <v>9398.4</v>
      </c>
      <c r="X26" s="8">
        <v>9006.7999999999993</v>
      </c>
      <c r="Y26" s="8">
        <v>6233.56</v>
      </c>
      <c r="Z26" s="8">
        <f t="shared" si="3"/>
        <v>41235.040000000001</v>
      </c>
      <c r="AA26" s="8">
        <f t="shared" si="3"/>
        <v>39770.69</v>
      </c>
      <c r="AB26" s="8">
        <f t="shared" si="3"/>
        <v>35639.520571935231</v>
      </c>
      <c r="AC26" s="10">
        <f t="shared" si="4"/>
        <v>4131.1694280647716</v>
      </c>
      <c r="AD26" s="8">
        <v>-307.64</v>
      </c>
      <c r="AE26" s="7"/>
      <c r="AF26" s="7"/>
      <c r="AG26" s="7"/>
      <c r="AH26" s="7"/>
      <c r="AI26" s="7"/>
      <c r="AJ26" s="7"/>
      <c r="AK26" s="7">
        <v>-247.73</v>
      </c>
      <c r="AL26" s="10">
        <f t="shared" si="5"/>
        <v>3575.7994280647717</v>
      </c>
      <c r="AM26" s="10">
        <f t="shared" si="6"/>
        <v>5040.1494280647703</v>
      </c>
    </row>
    <row r="27" spans="1:39" x14ac:dyDescent="0.25">
      <c r="A27" s="22" t="s">
        <v>32</v>
      </c>
      <c r="B27" s="8">
        <v>6303.69</v>
      </c>
      <c r="C27" s="8">
        <v>4032.68</v>
      </c>
      <c r="D27" s="8">
        <v>4615.45</v>
      </c>
      <c r="E27" s="8">
        <v>10278.24</v>
      </c>
      <c r="F27" s="8">
        <v>11013.22</v>
      </c>
      <c r="G27" s="8">
        <v>8822.08</v>
      </c>
      <c r="H27" s="8">
        <v>10549.44</v>
      </c>
      <c r="I27" s="8">
        <v>9413.2000000000007</v>
      </c>
      <c r="J27" s="9">
        <v>14676.782326565324</v>
      </c>
      <c r="K27" s="9">
        <v>10723.99</v>
      </c>
      <c r="L27" s="9">
        <v>9836.14</v>
      </c>
      <c r="M27" s="9">
        <v>6448.34</v>
      </c>
      <c r="N27" s="8">
        <f t="shared" si="1"/>
        <v>37855.360000000001</v>
      </c>
      <c r="O27" s="8">
        <f t="shared" si="1"/>
        <v>34295.24</v>
      </c>
      <c r="P27" s="8">
        <f t="shared" si="1"/>
        <v>34562.652326565323</v>
      </c>
      <c r="Q27" s="7"/>
      <c r="R27" s="7"/>
      <c r="S27" s="7"/>
      <c r="T27" s="8">
        <f t="shared" si="2"/>
        <v>37855.360000000001</v>
      </c>
      <c r="U27" s="8">
        <f t="shared" si="2"/>
        <v>34295.24</v>
      </c>
      <c r="V27" s="8">
        <f t="shared" si="2"/>
        <v>34562.652326565323</v>
      </c>
      <c r="W27" s="8">
        <v>10968.36</v>
      </c>
      <c r="X27" s="8">
        <v>7134.42</v>
      </c>
      <c r="Y27" s="8">
        <v>7241.07</v>
      </c>
      <c r="Z27" s="8">
        <f t="shared" si="3"/>
        <v>48823.72</v>
      </c>
      <c r="AA27" s="8">
        <f t="shared" si="3"/>
        <v>41429.659999999996</v>
      </c>
      <c r="AB27" s="8">
        <f t="shared" si="3"/>
        <v>41803.722326565323</v>
      </c>
      <c r="AC27" s="10">
        <f t="shared" si="4"/>
        <v>-374.06232656532666</v>
      </c>
      <c r="AD27" s="8">
        <v>-342.95</v>
      </c>
      <c r="AE27" s="7"/>
      <c r="AF27" s="7"/>
      <c r="AG27" s="7"/>
      <c r="AH27" s="7"/>
      <c r="AI27" s="7"/>
      <c r="AJ27" s="7"/>
      <c r="AK27" s="7">
        <v>-289.12</v>
      </c>
      <c r="AL27" s="10">
        <f t="shared" si="5"/>
        <v>-1006.1323265653267</v>
      </c>
      <c r="AM27" s="10">
        <f t="shared" si="6"/>
        <v>6387.9276734346786</v>
      </c>
    </row>
    <row r="28" spans="1:39" x14ac:dyDescent="0.25">
      <c r="A28" s="22" t="s">
        <v>33</v>
      </c>
      <c r="B28" s="8">
        <v>2400.64</v>
      </c>
      <c r="C28" s="8">
        <v>2100.56</v>
      </c>
      <c r="D28" s="8">
        <v>1872.75</v>
      </c>
      <c r="E28" s="8">
        <v>4103.4399999999996</v>
      </c>
      <c r="F28" s="8">
        <v>4084.08</v>
      </c>
      <c r="G28" s="8">
        <v>3779.66</v>
      </c>
      <c r="H28" s="8">
        <v>4519.68</v>
      </c>
      <c r="I28" s="8">
        <v>4519.68</v>
      </c>
      <c r="J28" s="9">
        <v>6288.0002859676151</v>
      </c>
      <c r="K28" s="9">
        <v>4519.68</v>
      </c>
      <c r="L28" s="9">
        <v>4519.68</v>
      </c>
      <c r="M28" s="9">
        <v>2761.13</v>
      </c>
      <c r="N28" s="8">
        <f t="shared" si="1"/>
        <v>15543.44</v>
      </c>
      <c r="O28" s="8">
        <f t="shared" si="1"/>
        <v>15224</v>
      </c>
      <c r="P28" s="8">
        <f t="shared" si="1"/>
        <v>14701.540285967614</v>
      </c>
      <c r="Q28" s="7"/>
      <c r="R28" s="7"/>
      <c r="S28" s="7"/>
      <c r="T28" s="8">
        <f t="shared" si="2"/>
        <v>15543.44</v>
      </c>
      <c r="U28" s="8">
        <f t="shared" si="2"/>
        <v>15224</v>
      </c>
      <c r="V28" s="8">
        <f t="shared" si="2"/>
        <v>14701.540285967614</v>
      </c>
      <c r="W28" s="8">
        <v>4519.68</v>
      </c>
      <c r="X28" s="8">
        <v>4519.68</v>
      </c>
      <c r="Y28" s="8">
        <v>3113.66</v>
      </c>
      <c r="Z28" s="8">
        <f t="shared" si="3"/>
        <v>20063.120000000003</v>
      </c>
      <c r="AA28" s="8">
        <f t="shared" si="3"/>
        <v>19743.68</v>
      </c>
      <c r="AB28" s="8">
        <f t="shared" si="3"/>
        <v>17815.200285967614</v>
      </c>
      <c r="AC28" s="10">
        <f t="shared" si="4"/>
        <v>1928.4797140323863</v>
      </c>
      <c r="AD28" s="8">
        <v>-152.24</v>
      </c>
      <c r="AE28" s="7"/>
      <c r="AF28" s="7"/>
      <c r="AG28" s="7"/>
      <c r="AH28" s="7"/>
      <c r="AI28" s="7"/>
      <c r="AJ28" s="7"/>
      <c r="AK28" s="7">
        <v>-123.87</v>
      </c>
      <c r="AL28" s="10">
        <f t="shared" si="5"/>
        <v>1652.3697140323861</v>
      </c>
      <c r="AM28" s="10">
        <f t="shared" si="6"/>
        <v>1971.8097140323889</v>
      </c>
    </row>
    <row r="29" spans="1:39" x14ac:dyDescent="0.25">
      <c r="A29" s="22" t="s">
        <v>34</v>
      </c>
      <c r="B29" s="8">
        <v>6635.16</v>
      </c>
      <c r="C29" s="8">
        <v>5460.76</v>
      </c>
      <c r="D29" s="8">
        <v>4858.13</v>
      </c>
      <c r="E29" s="8">
        <v>10818.66</v>
      </c>
      <c r="F29" s="8">
        <v>10742.88</v>
      </c>
      <c r="G29" s="8">
        <v>9285.94</v>
      </c>
      <c r="H29" s="8">
        <v>11104.08</v>
      </c>
      <c r="I29" s="8">
        <v>10958.53</v>
      </c>
      <c r="J29" s="9">
        <v>15448.43113438862</v>
      </c>
      <c r="K29" s="9">
        <v>11287.83</v>
      </c>
      <c r="L29" s="9">
        <v>11251.18</v>
      </c>
      <c r="M29" s="9">
        <v>6787.17</v>
      </c>
      <c r="N29" s="8">
        <f t="shared" si="1"/>
        <v>39845.730000000003</v>
      </c>
      <c r="O29" s="8">
        <f t="shared" si="1"/>
        <v>38413.35</v>
      </c>
      <c r="P29" s="8">
        <f t="shared" si="1"/>
        <v>36379.67113438862</v>
      </c>
      <c r="Q29" s="7"/>
      <c r="R29" s="7"/>
      <c r="S29" s="7"/>
      <c r="T29" s="8">
        <f t="shared" si="2"/>
        <v>39845.730000000003</v>
      </c>
      <c r="U29" s="8">
        <f t="shared" si="2"/>
        <v>38413.35</v>
      </c>
      <c r="V29" s="8">
        <f t="shared" si="2"/>
        <v>36379.67113438862</v>
      </c>
      <c r="W29" s="8">
        <v>11545.08</v>
      </c>
      <c r="X29" s="8">
        <v>10630.25</v>
      </c>
      <c r="Y29" s="8">
        <v>7653.03</v>
      </c>
      <c r="Z29" s="8">
        <f t="shared" si="3"/>
        <v>51390.810000000005</v>
      </c>
      <c r="AA29" s="8">
        <f t="shared" si="3"/>
        <v>49043.6</v>
      </c>
      <c r="AB29" s="8">
        <f t="shared" si="3"/>
        <v>44032.701134388619</v>
      </c>
      <c r="AC29" s="10">
        <f t="shared" si="4"/>
        <v>5010.8988656113797</v>
      </c>
      <c r="AD29" s="8">
        <v>-384.13</v>
      </c>
      <c r="AE29" s="7"/>
      <c r="AF29" s="7"/>
      <c r="AG29" s="7"/>
      <c r="AH29" s="7"/>
      <c r="AI29" s="7"/>
      <c r="AJ29" s="7"/>
      <c r="AK29" s="7">
        <v>-304.32</v>
      </c>
      <c r="AL29" s="10">
        <f t="shared" si="5"/>
        <v>4322.4488656113799</v>
      </c>
      <c r="AM29" s="10">
        <f t="shared" si="6"/>
        <v>6669.6588656113863</v>
      </c>
    </row>
    <row r="30" spans="1:39" x14ac:dyDescent="0.25">
      <c r="A30" s="22" t="s">
        <v>35</v>
      </c>
      <c r="B30" s="8">
        <v>7682.07</v>
      </c>
      <c r="C30" s="8">
        <v>6356.17</v>
      </c>
      <c r="D30" s="8">
        <v>4830.2700000000004</v>
      </c>
      <c r="E30" s="8">
        <v>10248.18</v>
      </c>
      <c r="F30" s="8">
        <v>10197</v>
      </c>
      <c r="G30" s="8">
        <v>8796.31</v>
      </c>
      <c r="H30" s="8">
        <v>10518.48</v>
      </c>
      <c r="I30" s="8">
        <v>11271.76</v>
      </c>
      <c r="J30" s="9">
        <v>14633.967392797364</v>
      </c>
      <c r="K30" s="9">
        <v>10692.58</v>
      </c>
      <c r="L30" s="9">
        <v>10657.76</v>
      </c>
      <c r="M30" s="9">
        <v>6429.3</v>
      </c>
      <c r="N30" s="8">
        <f t="shared" si="1"/>
        <v>39141.31</v>
      </c>
      <c r="O30" s="8">
        <f t="shared" si="1"/>
        <v>38482.69</v>
      </c>
      <c r="P30" s="8">
        <f t="shared" si="1"/>
        <v>34689.847392797368</v>
      </c>
      <c r="Q30" s="7"/>
      <c r="R30" s="7"/>
      <c r="S30" s="7"/>
      <c r="T30" s="8">
        <f t="shared" si="2"/>
        <v>39141.31</v>
      </c>
      <c r="U30" s="8">
        <f t="shared" si="2"/>
        <v>38482.69</v>
      </c>
      <c r="V30" s="8">
        <f t="shared" si="2"/>
        <v>34689.847392797368</v>
      </c>
      <c r="W30" s="8">
        <v>10936.32</v>
      </c>
      <c r="X30" s="8">
        <v>6237.12</v>
      </c>
      <c r="Y30" s="8">
        <v>7211.15</v>
      </c>
      <c r="Z30" s="8">
        <f t="shared" si="3"/>
        <v>50077.63</v>
      </c>
      <c r="AA30" s="8">
        <f t="shared" si="3"/>
        <v>44719.810000000005</v>
      </c>
      <c r="AB30" s="8">
        <f t="shared" si="3"/>
        <v>41900.99739279737</v>
      </c>
      <c r="AC30" s="10">
        <f t="shared" si="4"/>
        <v>2818.8126072026353</v>
      </c>
      <c r="AD30" s="8">
        <v>-384.83</v>
      </c>
      <c r="AE30" s="7"/>
      <c r="AF30" s="7"/>
      <c r="AG30" s="7"/>
      <c r="AH30" s="7"/>
      <c r="AI30" s="7"/>
      <c r="AJ30" s="7"/>
      <c r="AK30" s="7">
        <v>-288.27</v>
      </c>
      <c r="AL30" s="10">
        <f t="shared" si="5"/>
        <v>2145.7126072026354</v>
      </c>
      <c r="AM30" s="10">
        <f t="shared" si="6"/>
        <v>7503.5326072026273</v>
      </c>
    </row>
    <row r="31" spans="1:39" x14ac:dyDescent="0.25">
      <c r="A31" s="22" t="s">
        <v>36</v>
      </c>
      <c r="B31" s="8">
        <v>5260.23</v>
      </c>
      <c r="C31" s="8">
        <v>4675.76</v>
      </c>
      <c r="D31" s="8">
        <v>3851.45</v>
      </c>
      <c r="E31" s="8">
        <v>8576.82</v>
      </c>
      <c r="F31" s="8">
        <v>8539.11</v>
      </c>
      <c r="G31" s="8">
        <v>7361.75</v>
      </c>
      <c r="H31" s="8">
        <v>8803.08</v>
      </c>
      <c r="I31" s="8">
        <v>8803.08</v>
      </c>
      <c r="J31" s="9">
        <v>12247.326079714199</v>
      </c>
      <c r="K31" s="9">
        <v>8803.08</v>
      </c>
      <c r="L31" s="9">
        <v>8803.08</v>
      </c>
      <c r="M31" s="9">
        <v>5362.02</v>
      </c>
      <c r="N31" s="8">
        <f t="shared" si="1"/>
        <v>31443.21</v>
      </c>
      <c r="O31" s="8">
        <f t="shared" si="1"/>
        <v>30821.03</v>
      </c>
      <c r="P31" s="8">
        <f t="shared" si="1"/>
        <v>28822.5460797142</v>
      </c>
      <c r="Q31" s="7"/>
      <c r="R31" s="7"/>
      <c r="S31" s="7"/>
      <c r="T31" s="8">
        <f t="shared" si="2"/>
        <v>31443.21</v>
      </c>
      <c r="U31" s="8">
        <f t="shared" si="2"/>
        <v>30821.03</v>
      </c>
      <c r="V31" s="8">
        <f t="shared" si="2"/>
        <v>28822.5460797142</v>
      </c>
      <c r="W31" s="8">
        <v>8803.08</v>
      </c>
      <c r="X31" s="8">
        <v>8803.08</v>
      </c>
      <c r="Y31" s="8">
        <v>6064.39</v>
      </c>
      <c r="Z31" s="8">
        <f t="shared" si="3"/>
        <v>40246.29</v>
      </c>
      <c r="AA31" s="8">
        <f t="shared" si="3"/>
        <v>39624.11</v>
      </c>
      <c r="AB31" s="8">
        <f t="shared" si="3"/>
        <v>34886.9360797142</v>
      </c>
      <c r="AC31" s="10">
        <f t="shared" si="4"/>
        <v>4737.1739202858007</v>
      </c>
      <c r="AD31" s="8">
        <v>-308.20999999999998</v>
      </c>
      <c r="AE31" s="7"/>
      <c r="AF31" s="7"/>
      <c r="AG31" s="7"/>
      <c r="AH31" s="7"/>
      <c r="AI31" s="7"/>
      <c r="AJ31" s="7"/>
      <c r="AK31" s="7">
        <v>-241.26</v>
      </c>
      <c r="AL31" s="10">
        <f t="shared" si="5"/>
        <v>4187.7039202858005</v>
      </c>
      <c r="AM31" s="10">
        <f t="shared" si="6"/>
        <v>4809.8839202858007</v>
      </c>
    </row>
    <row r="32" spans="1:39" x14ac:dyDescent="0.25">
      <c r="A32" s="22" t="s">
        <v>37</v>
      </c>
      <c r="B32" s="8">
        <v>942.64</v>
      </c>
      <c r="C32" s="8">
        <v>1136.8499999999999</v>
      </c>
      <c r="D32" s="8">
        <v>1589.22</v>
      </c>
      <c r="E32" s="8">
        <v>2310.6</v>
      </c>
      <c r="F32" s="8">
        <v>269.45999999999998</v>
      </c>
      <c r="G32" s="8">
        <v>4600.88</v>
      </c>
      <c r="H32" s="8">
        <v>2371.6799999999998</v>
      </c>
      <c r="I32" s="8">
        <v>2662.6</v>
      </c>
      <c r="J32" s="9">
        <v>7654.2321753733095</v>
      </c>
      <c r="K32" s="9">
        <v>395.28</v>
      </c>
      <c r="L32" s="9">
        <v>1577.44</v>
      </c>
      <c r="M32" s="9">
        <v>3258.8</v>
      </c>
      <c r="N32" s="8">
        <f t="shared" si="1"/>
        <v>6020.2</v>
      </c>
      <c r="O32" s="8">
        <f t="shared" si="1"/>
        <v>5646.35</v>
      </c>
      <c r="P32" s="8">
        <f t="shared" si="1"/>
        <v>17103.13217537331</v>
      </c>
      <c r="Q32" s="7"/>
      <c r="R32" s="7"/>
      <c r="S32" s="7"/>
      <c r="T32" s="8">
        <f t="shared" si="2"/>
        <v>6020.2</v>
      </c>
      <c r="U32" s="8">
        <f t="shared" si="2"/>
        <v>5646.35</v>
      </c>
      <c r="V32" s="8">
        <f t="shared" si="2"/>
        <v>17103.13217537331</v>
      </c>
      <c r="W32" s="8"/>
      <c r="X32" s="8"/>
      <c r="Y32" s="8"/>
      <c r="Z32" s="8">
        <f t="shared" si="3"/>
        <v>6020.2</v>
      </c>
      <c r="AA32" s="8">
        <f t="shared" si="3"/>
        <v>5646.35</v>
      </c>
      <c r="AB32" s="8">
        <f t="shared" si="3"/>
        <v>17103.13217537331</v>
      </c>
      <c r="AC32" s="10">
        <f t="shared" si="4"/>
        <v>-11456.78217537331</v>
      </c>
      <c r="AD32" s="8">
        <f t="shared" si="0"/>
        <v>-56.463500000000003</v>
      </c>
      <c r="AE32" s="7"/>
      <c r="AF32" s="7"/>
      <c r="AG32" s="7"/>
      <c r="AH32" s="7"/>
      <c r="AI32" s="7"/>
      <c r="AJ32" s="7"/>
      <c r="AK32" s="7">
        <v>-150.78</v>
      </c>
      <c r="AL32" s="10">
        <f t="shared" si="5"/>
        <v>-11664.02567537331</v>
      </c>
      <c r="AM32" s="10">
        <f t="shared" si="6"/>
        <v>-11290.17567537331</v>
      </c>
    </row>
    <row r="33" spans="1:39" x14ac:dyDescent="0.25">
      <c r="A33" s="22" t="s">
        <v>38</v>
      </c>
      <c r="B33" s="8">
        <v>4801.28</v>
      </c>
      <c r="C33" s="8">
        <v>4201.12</v>
      </c>
      <c r="D33" s="8">
        <v>3745.5</v>
      </c>
      <c r="E33" s="8">
        <v>8807.0400000000009</v>
      </c>
      <c r="F33" s="8">
        <v>8768.32</v>
      </c>
      <c r="G33" s="8">
        <v>7559.33</v>
      </c>
      <c r="H33" s="8">
        <v>9563.2800000000007</v>
      </c>
      <c r="I33" s="8">
        <v>9519.6200000000008</v>
      </c>
      <c r="J33" s="9">
        <v>12634.100571935232</v>
      </c>
      <c r="K33" s="9">
        <v>9563.2800000000007</v>
      </c>
      <c r="L33" s="9">
        <v>9563.2800000000007</v>
      </c>
      <c r="M33" s="9">
        <v>5534.16</v>
      </c>
      <c r="N33" s="8">
        <f t="shared" si="1"/>
        <v>32734.879999999997</v>
      </c>
      <c r="O33" s="8">
        <f t="shared" si="1"/>
        <v>32052.339999999997</v>
      </c>
      <c r="P33" s="8">
        <f t="shared" si="1"/>
        <v>29473.090571935234</v>
      </c>
      <c r="Q33" s="7"/>
      <c r="R33" s="7"/>
      <c r="S33" s="7"/>
      <c r="T33" s="8">
        <f t="shared" si="2"/>
        <v>32734.879999999997</v>
      </c>
      <c r="U33" s="8">
        <f t="shared" si="2"/>
        <v>32052.339999999997</v>
      </c>
      <c r="V33" s="8">
        <f t="shared" si="2"/>
        <v>29473.090571935234</v>
      </c>
      <c r="W33" s="8">
        <v>9563.2800000000007</v>
      </c>
      <c r="X33" s="8">
        <v>9563.2800000000007</v>
      </c>
      <c r="Y33" s="8">
        <v>6251.64</v>
      </c>
      <c r="Z33" s="8">
        <f t="shared" si="3"/>
        <v>42298.159999999996</v>
      </c>
      <c r="AA33" s="8">
        <f t="shared" si="3"/>
        <v>41615.619999999995</v>
      </c>
      <c r="AB33" s="8">
        <f t="shared" si="3"/>
        <v>35724.730571935237</v>
      </c>
      <c r="AC33" s="10">
        <f t="shared" si="4"/>
        <v>5890.8894280647582</v>
      </c>
      <c r="AD33" s="8">
        <v>-320.52</v>
      </c>
      <c r="AE33" s="7"/>
      <c r="AF33" s="7"/>
      <c r="AG33" s="7"/>
      <c r="AH33" s="7"/>
      <c r="AI33" s="7"/>
      <c r="AJ33" s="7"/>
      <c r="AK33" s="7">
        <v>-247.73</v>
      </c>
      <c r="AL33" s="10">
        <f t="shared" si="5"/>
        <v>5322.6394280647582</v>
      </c>
      <c r="AM33" s="10">
        <f t="shared" si="6"/>
        <v>6005.1794280647591</v>
      </c>
    </row>
    <row r="34" spans="1:39" x14ac:dyDescent="0.25">
      <c r="A34" s="22" t="s">
        <v>39</v>
      </c>
      <c r="B34" s="8">
        <v>2400.64</v>
      </c>
      <c r="C34" s="8">
        <v>2928.91</v>
      </c>
      <c r="D34" s="8">
        <v>1842.75</v>
      </c>
      <c r="E34" s="8">
        <v>4403.5200000000004</v>
      </c>
      <c r="F34" s="8">
        <v>3398.67</v>
      </c>
      <c r="G34" s="8">
        <v>3779.66</v>
      </c>
      <c r="H34" s="8">
        <v>4519.68</v>
      </c>
      <c r="I34" s="8">
        <v>4143.04</v>
      </c>
      <c r="J34" s="9">
        <v>6287.9802859676147</v>
      </c>
      <c r="K34" s="9">
        <v>4519.68</v>
      </c>
      <c r="L34" s="9">
        <v>4896.32</v>
      </c>
      <c r="M34" s="9">
        <v>2761.13</v>
      </c>
      <c r="N34" s="8">
        <f t="shared" si="1"/>
        <v>15843.52</v>
      </c>
      <c r="O34" s="8">
        <f t="shared" si="1"/>
        <v>15366.939999999999</v>
      </c>
      <c r="P34" s="8">
        <f t="shared" si="1"/>
        <v>14671.520285967614</v>
      </c>
      <c r="Q34" s="7"/>
      <c r="R34" s="7"/>
      <c r="S34" s="7"/>
      <c r="T34" s="8">
        <f t="shared" si="2"/>
        <v>15843.52</v>
      </c>
      <c r="U34" s="8">
        <f t="shared" si="2"/>
        <v>15366.939999999999</v>
      </c>
      <c r="V34" s="8">
        <f t="shared" si="2"/>
        <v>14671.520285967614</v>
      </c>
      <c r="W34" s="8">
        <v>4519.68</v>
      </c>
      <c r="X34" s="8">
        <v>4806.8999999999996</v>
      </c>
      <c r="Y34" s="8">
        <v>3116.54</v>
      </c>
      <c r="Z34" s="8">
        <v>4806.8999999999996</v>
      </c>
      <c r="AA34" s="8">
        <f t="shared" si="3"/>
        <v>20173.839999999997</v>
      </c>
      <c r="AB34" s="8">
        <f t="shared" si="3"/>
        <v>17788.060285967615</v>
      </c>
      <c r="AC34" s="10">
        <f t="shared" si="4"/>
        <v>2385.7797140323819</v>
      </c>
      <c r="AD34" s="8">
        <v>-153.66999999999999</v>
      </c>
      <c r="AE34" s="7"/>
      <c r="AF34" s="7"/>
      <c r="AG34" s="7"/>
      <c r="AH34" s="7"/>
      <c r="AI34" s="7"/>
      <c r="AJ34" s="7"/>
      <c r="AK34" s="7">
        <v>-123.87</v>
      </c>
      <c r="AL34" s="10">
        <f t="shared" si="5"/>
        <v>2108.2397140323819</v>
      </c>
      <c r="AM34" s="10">
        <f t="shared" si="6"/>
        <v>-13258.700285967616</v>
      </c>
    </row>
    <row r="35" spans="1:39" x14ac:dyDescent="0.25">
      <c r="A35" s="22" t="s">
        <v>40</v>
      </c>
      <c r="B35" s="8">
        <v>550.88</v>
      </c>
      <c r="C35" s="8">
        <v>482.02</v>
      </c>
      <c r="D35" s="8">
        <v>928.73</v>
      </c>
      <c r="E35" s="8">
        <v>1350.3</v>
      </c>
      <c r="F35" s="8">
        <v>1224.05</v>
      </c>
      <c r="G35" s="8">
        <v>2688.71</v>
      </c>
      <c r="H35" s="8">
        <v>1386</v>
      </c>
      <c r="I35" s="8">
        <v>1366.09</v>
      </c>
      <c r="J35" s="9">
        <v>4473.0380897905998</v>
      </c>
      <c r="K35" s="9">
        <v>1386</v>
      </c>
      <c r="L35" s="9">
        <v>1405.91</v>
      </c>
      <c r="M35" s="9">
        <v>1929.93</v>
      </c>
      <c r="N35" s="8">
        <f t="shared" si="1"/>
        <v>4673.18</v>
      </c>
      <c r="O35" s="8">
        <f t="shared" si="1"/>
        <v>4478.07</v>
      </c>
      <c r="P35" s="8">
        <f t="shared" si="1"/>
        <v>10020.408089790601</v>
      </c>
      <c r="Q35" s="7"/>
      <c r="R35" s="7"/>
      <c r="S35" s="7"/>
      <c r="T35" s="8">
        <f t="shared" si="2"/>
        <v>4673.18</v>
      </c>
      <c r="U35" s="8">
        <f t="shared" si="2"/>
        <v>4478.07</v>
      </c>
      <c r="V35" s="8">
        <f t="shared" si="2"/>
        <v>10020.408089790601</v>
      </c>
      <c r="W35" s="8">
        <v>1386</v>
      </c>
      <c r="X35" s="8">
        <v>1171.48</v>
      </c>
      <c r="Y35" s="8">
        <v>2160.52</v>
      </c>
      <c r="Z35" s="8">
        <f t="shared" si="3"/>
        <v>6059.18</v>
      </c>
      <c r="AA35" s="8">
        <f t="shared" si="3"/>
        <v>5649.5499999999993</v>
      </c>
      <c r="AB35" s="8">
        <f t="shared" si="3"/>
        <v>12180.928089790601</v>
      </c>
      <c r="AC35" s="10">
        <f t="shared" si="4"/>
        <v>-6531.3780897906017</v>
      </c>
      <c r="AD35" s="8">
        <v>-44.78</v>
      </c>
      <c r="AE35" s="7"/>
      <c r="AF35" s="7"/>
      <c r="AG35" s="7"/>
      <c r="AH35" s="7"/>
      <c r="AI35" s="7"/>
      <c r="AJ35" s="7"/>
      <c r="AK35" s="7">
        <v>-88.11</v>
      </c>
      <c r="AL35" s="10">
        <f t="shared" si="5"/>
        <v>-6664.2680897906012</v>
      </c>
      <c r="AM35" s="10">
        <f t="shared" si="6"/>
        <v>-6254.6380897906001</v>
      </c>
    </row>
    <row r="36" spans="1:39" x14ac:dyDescent="0.25">
      <c r="A36" s="22" t="s">
        <v>41</v>
      </c>
      <c r="B36" s="8">
        <v>906.84</v>
      </c>
      <c r="C36" s="8">
        <v>0</v>
      </c>
      <c r="D36" s="8">
        <v>834.02</v>
      </c>
      <c r="E36" s="8">
        <v>1594.56</v>
      </c>
      <c r="F36" s="8">
        <v>2606.56</v>
      </c>
      <c r="G36" s="8">
        <v>1889.83</v>
      </c>
      <c r="H36" s="8">
        <v>1636.8</v>
      </c>
      <c r="I36" s="8">
        <v>682</v>
      </c>
      <c r="J36" s="9">
        <v>3143.9951429838075</v>
      </c>
      <c r="K36" s="9">
        <v>1663.2</v>
      </c>
      <c r="L36" s="9">
        <v>921.19</v>
      </c>
      <c r="M36" s="9">
        <v>1369.55</v>
      </c>
      <c r="N36" s="8">
        <f t="shared" si="1"/>
        <v>5801.4</v>
      </c>
      <c r="O36" s="8">
        <f t="shared" si="1"/>
        <v>4209.75</v>
      </c>
      <c r="P36" s="8">
        <f t="shared" si="1"/>
        <v>7237.395142983808</v>
      </c>
      <c r="Q36" s="7"/>
      <c r="R36" s="7"/>
      <c r="S36" s="7"/>
      <c r="T36" s="8">
        <f t="shared" si="2"/>
        <v>5801.4</v>
      </c>
      <c r="U36" s="8">
        <f t="shared" si="2"/>
        <v>4209.75</v>
      </c>
      <c r="V36" s="8">
        <f t="shared" si="2"/>
        <v>7237.395142983808</v>
      </c>
      <c r="W36" s="8">
        <v>1700.16</v>
      </c>
      <c r="X36" s="8">
        <v>13319.19</v>
      </c>
      <c r="Y36" s="8">
        <v>1671.31</v>
      </c>
      <c r="Z36" s="8">
        <f t="shared" si="3"/>
        <v>7501.5599999999995</v>
      </c>
      <c r="AA36" s="8">
        <f t="shared" si="3"/>
        <v>17528.940000000002</v>
      </c>
      <c r="AB36" s="8">
        <f t="shared" si="3"/>
        <v>8908.7051429838084</v>
      </c>
      <c r="AC36" s="10">
        <f t="shared" si="4"/>
        <v>8620.2348570161939</v>
      </c>
      <c r="AD36" s="8">
        <v>-42.1</v>
      </c>
      <c r="AE36" s="7"/>
      <c r="AF36" s="7"/>
      <c r="AG36" s="7"/>
      <c r="AH36" s="7"/>
      <c r="AI36" s="7"/>
      <c r="AJ36" s="7"/>
      <c r="AK36" s="7">
        <v>-61.93</v>
      </c>
      <c r="AL36" s="10">
        <f t="shared" si="5"/>
        <v>8516.2048570161933</v>
      </c>
      <c r="AM36" s="10">
        <f t="shared" si="6"/>
        <v>-1511.1751429838089</v>
      </c>
    </row>
    <row r="37" spans="1:39" x14ac:dyDescent="0.25">
      <c r="A37" s="23" t="s">
        <v>42</v>
      </c>
      <c r="B37" s="8">
        <v>59053.83</v>
      </c>
      <c r="C37" s="8">
        <v>53740.94</v>
      </c>
      <c r="D37" s="8">
        <v>60210.559999999998</v>
      </c>
      <c r="E37" s="8">
        <v>83431.63</v>
      </c>
      <c r="F37" s="8">
        <v>79814.09</v>
      </c>
      <c r="G37" s="8">
        <v>87973.43</v>
      </c>
      <c r="H37" s="8">
        <v>84912.36</v>
      </c>
      <c r="I37" s="8">
        <v>83199.512839025803</v>
      </c>
      <c r="J37" s="9">
        <v>98774.490682698568</v>
      </c>
      <c r="K37" s="9">
        <v>86962.46</v>
      </c>
      <c r="L37" s="9">
        <v>86186.67</v>
      </c>
      <c r="M37" s="9">
        <v>134947.9</v>
      </c>
      <c r="N37" s="8">
        <f t="shared" si="1"/>
        <v>314360.28000000003</v>
      </c>
      <c r="O37" s="8">
        <f t="shared" si="1"/>
        <v>302941.21283902577</v>
      </c>
      <c r="P37" s="8">
        <f t="shared" si="1"/>
        <v>381906.38068269857</v>
      </c>
      <c r="Q37" s="7">
        <v>160118.66</v>
      </c>
      <c r="R37" s="7">
        <v>159433.3471609742</v>
      </c>
      <c r="S37" s="7">
        <v>1345.5</v>
      </c>
      <c r="T37" s="8">
        <f t="shared" si="2"/>
        <v>474478.94000000006</v>
      </c>
      <c r="U37" s="8">
        <f t="shared" si="2"/>
        <v>462374.55999999994</v>
      </c>
      <c r="V37" s="8">
        <f t="shared" si="2"/>
        <v>383251.88068269857</v>
      </c>
      <c r="W37" s="8">
        <v>133751.76999999999</v>
      </c>
      <c r="X37" s="8">
        <v>128222.01</v>
      </c>
      <c r="Y37" s="8">
        <v>101270.95</v>
      </c>
      <c r="Z37" s="8">
        <f t="shared" si="3"/>
        <v>608230.71000000008</v>
      </c>
      <c r="AA37" s="8">
        <f t="shared" si="3"/>
        <v>590596.56999999995</v>
      </c>
      <c r="AB37" s="8">
        <f t="shared" si="3"/>
        <v>484522.83068269858</v>
      </c>
      <c r="AC37" s="10">
        <f t="shared" si="4"/>
        <v>106073.73931730137</v>
      </c>
      <c r="AD37" s="8">
        <v>-4623.75</v>
      </c>
      <c r="AE37" s="7"/>
      <c r="AF37" s="7"/>
      <c r="AG37" s="7"/>
      <c r="AH37" s="7"/>
      <c r="AI37" s="7"/>
      <c r="AJ37" s="7"/>
      <c r="AK37" s="7">
        <v>-1827.48</v>
      </c>
      <c r="AL37" s="10">
        <f t="shared" si="5"/>
        <v>99622.509317301374</v>
      </c>
      <c r="AM37" s="10">
        <f t="shared" si="6"/>
        <v>117256.6493173015</v>
      </c>
    </row>
    <row r="38" spans="1:39" x14ac:dyDescent="0.25">
      <c r="A38" s="24" t="s">
        <v>43</v>
      </c>
      <c r="B38" s="8">
        <f>SUM(B6:B37)</f>
        <v>2097685.3499999996</v>
      </c>
      <c r="C38" s="8">
        <f>SUM(C6:C37)</f>
        <v>1771934.62</v>
      </c>
      <c r="D38" s="8">
        <f>SUM(D6:D37)</f>
        <v>1980681.41</v>
      </c>
      <c r="E38" s="8">
        <f>SUM(E6:E37)</f>
        <v>2745661.55</v>
      </c>
      <c r="F38" s="8">
        <f>SUM(F6:F37)</f>
        <v>2582276.4999999991</v>
      </c>
      <c r="G38" s="8">
        <f t="shared" ref="G38:M38" si="8">SUM(G7:G37)</f>
        <v>2727260.4000000008</v>
      </c>
      <c r="H38" s="8">
        <f t="shared" si="8"/>
        <v>3038620.55</v>
      </c>
      <c r="I38" s="8">
        <f t="shared" si="8"/>
        <v>2840506.6028138008</v>
      </c>
      <c r="J38" s="8">
        <f t="shared" si="8"/>
        <v>3370986.0100000007</v>
      </c>
      <c r="K38" s="8">
        <f t="shared" si="8"/>
        <v>3142376.4800000004</v>
      </c>
      <c r="L38" s="8">
        <f t="shared" si="8"/>
        <v>3015953.3800000004</v>
      </c>
      <c r="M38" s="9">
        <f t="shared" si="8"/>
        <v>3567163.4099999997</v>
      </c>
      <c r="N38" s="8">
        <f t="shared" si="1"/>
        <v>11024343.93</v>
      </c>
      <c r="O38" s="8">
        <f t="shared" si="1"/>
        <v>10210671.102813801</v>
      </c>
      <c r="P38" s="8">
        <f t="shared" si="1"/>
        <v>11646091.23</v>
      </c>
      <c r="Q38" s="7">
        <f>SUM(Q7:Q37)</f>
        <v>4084390.45</v>
      </c>
      <c r="R38" s="7">
        <f>SUM(R7:R37)</f>
        <v>3921253.7371861995</v>
      </c>
      <c r="S38" s="7">
        <f>SUM(S7:S37)</f>
        <v>1788838.4200000002</v>
      </c>
      <c r="T38" s="8">
        <f>SUM(T6:T37)</f>
        <v>15108734.380000001</v>
      </c>
      <c r="U38" s="8">
        <f>SUM(U6:U37)</f>
        <v>14131924.840000002</v>
      </c>
      <c r="V38" s="8">
        <f>SUM(V6:V37)</f>
        <v>13434929.649999997</v>
      </c>
      <c r="W38" s="8">
        <f>SUM(W7:W37)</f>
        <v>4340544.6999999993</v>
      </c>
      <c r="X38" s="8">
        <f>SUM(X7:X37)</f>
        <v>4250565.51</v>
      </c>
      <c r="Y38" s="8">
        <f>SUM(Y7:Y37)</f>
        <v>3691059.1699999995</v>
      </c>
      <c r="Z38" s="8">
        <f>SUM(Z6:Z37)</f>
        <v>19433722.77999999</v>
      </c>
      <c r="AA38" s="8">
        <f>SUM(AA6:AA37)</f>
        <v>18382490.350000005</v>
      </c>
      <c r="AB38" s="8">
        <f t="shared" ref="AB38" si="9">V38+Y38</f>
        <v>17125988.819999997</v>
      </c>
      <c r="AC38" s="10">
        <f t="shared" si="4"/>
        <v>1256501.5300000086</v>
      </c>
      <c r="AD38" s="8">
        <f>SUM(AD6:AD37)</f>
        <v>-141319.25400000004</v>
      </c>
      <c r="AE38" s="7">
        <f t="shared" ref="AE38:AJ38" si="10">SUM(AE6:AE37)</f>
        <v>-487725.9</v>
      </c>
      <c r="AF38" s="7">
        <f t="shared" si="10"/>
        <v>-81927.149999999994</v>
      </c>
      <c r="AG38" s="7">
        <f t="shared" si="10"/>
        <v>-107110.99</v>
      </c>
      <c r="AH38" s="7">
        <f t="shared" si="10"/>
        <v>-108093.65000000001</v>
      </c>
      <c r="AI38" s="7">
        <f>SUM(AI7:AI37)</f>
        <v>-784857.69</v>
      </c>
      <c r="AJ38" s="7">
        <f t="shared" si="10"/>
        <v>-33224.749999999993</v>
      </c>
      <c r="AK38" s="7">
        <f>SUM(AK6:AK37)</f>
        <v>-49107.280000000021</v>
      </c>
      <c r="AL38" s="10">
        <f>SUM(AL6:AL37)</f>
        <v>247992.55600000086</v>
      </c>
      <c r="AM38" s="10">
        <f>SUM(AM6:AM37)</f>
        <v>1299224.9860000003</v>
      </c>
    </row>
    <row r="39" spans="1:39" x14ac:dyDescent="0.25">
      <c r="T39" s="12"/>
      <c r="U39" s="12"/>
      <c r="V39" s="12"/>
    </row>
  </sheetData>
  <mergeCells count="22">
    <mergeCell ref="AM3:AM5"/>
    <mergeCell ref="AF4:AF5"/>
    <mergeCell ref="AG4:AG5"/>
    <mergeCell ref="AH4:AH5"/>
    <mergeCell ref="AI4:AI5"/>
    <mergeCell ref="AJ4:AJ5"/>
    <mergeCell ref="A3:A4"/>
    <mergeCell ref="Z3:AB4"/>
    <mergeCell ref="AC3:AC5"/>
    <mergeCell ref="AD3:AK3"/>
    <mergeCell ref="AL3:AL5"/>
    <mergeCell ref="B4:D4"/>
    <mergeCell ref="E4:G4"/>
    <mergeCell ref="H4:J4"/>
    <mergeCell ref="K4:M4"/>
    <mergeCell ref="AK4:AK5"/>
    <mergeCell ref="N4:P4"/>
    <mergeCell ref="Q4:S4"/>
    <mergeCell ref="T4:V4"/>
    <mergeCell ref="W4:Y4"/>
    <mergeCell ref="AD4:AD5"/>
    <mergeCell ref="AE4:AE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Y35"/>
  <sheetViews>
    <sheetView topLeftCell="A4" workbookViewId="0">
      <selection activeCell="AL18" sqref="A18:AL18"/>
    </sheetView>
  </sheetViews>
  <sheetFormatPr defaultRowHeight="15.75" x14ac:dyDescent="0.25"/>
  <cols>
    <col min="1" max="1" width="25" style="6" customWidth="1"/>
    <col min="2" max="2" width="11.25" style="6" customWidth="1"/>
    <col min="3" max="3" width="16.25" style="6" customWidth="1"/>
    <col min="4" max="4" width="13.875" style="6" customWidth="1"/>
    <col min="5" max="5" width="16.125" style="6" customWidth="1"/>
    <col min="6" max="6" width="13.125" style="6" customWidth="1"/>
    <col min="7" max="8" width="14.75" style="6" customWidth="1"/>
    <col min="9" max="9" width="16.125" style="6" customWidth="1"/>
    <col min="10" max="10" width="14.5" style="6" customWidth="1"/>
    <col min="11" max="11" width="16" style="6" customWidth="1"/>
    <col min="12" max="12" width="15.75" style="6" customWidth="1"/>
    <col min="13" max="13" width="16.75" style="6" customWidth="1"/>
    <col min="14" max="14" width="14.125" style="6" customWidth="1"/>
    <col min="15" max="15" width="16.875" style="6" customWidth="1"/>
    <col min="16" max="16" width="14.75" style="6" customWidth="1"/>
    <col min="17" max="17" width="16.75" style="6" customWidth="1"/>
    <col min="18" max="18" width="14.75" style="6" customWidth="1"/>
    <col min="19" max="19" width="13.75" style="6" customWidth="1"/>
    <col min="20" max="20" width="15.75" style="6" customWidth="1"/>
    <col min="21" max="22" width="14.875" style="6" customWidth="1"/>
    <col min="23" max="23" width="15.75" style="6" customWidth="1"/>
    <col min="24" max="24" width="14.625" style="6" customWidth="1"/>
    <col min="25" max="25" width="14.5" style="6" customWidth="1"/>
    <col min="26" max="26" width="14" style="6" customWidth="1"/>
    <col min="27" max="27" width="15.25" style="6" customWidth="1"/>
    <col min="28" max="28" width="15.625" style="6" customWidth="1"/>
    <col min="29" max="29" width="15.875" style="6" customWidth="1"/>
    <col min="30" max="30" width="14.25" style="6" customWidth="1"/>
    <col min="31" max="31" width="12" style="6" customWidth="1"/>
    <col min="32" max="32" width="11.875" style="6" customWidth="1"/>
    <col min="33" max="33" width="13.875" style="6" customWidth="1"/>
    <col min="34" max="34" width="11.25" style="6" customWidth="1"/>
    <col min="35" max="35" width="11.625" style="6" customWidth="1"/>
    <col min="36" max="36" width="9.25" style="6" customWidth="1"/>
    <col min="37" max="37" width="11.375" style="6" customWidth="1"/>
    <col min="38" max="38" width="11" style="6" customWidth="1"/>
    <col min="39" max="39" width="14" style="6" customWidth="1"/>
    <col min="40" max="16384" width="9" style="6"/>
  </cols>
  <sheetData>
    <row r="4" spans="1:51" x14ac:dyDescent="0.25">
      <c r="A4" s="101"/>
      <c r="AE4" s="20" t="s">
        <v>257</v>
      </c>
    </row>
    <row r="5" spans="1:51" ht="33.75" customHeight="1" x14ac:dyDescent="0.25">
      <c r="A5" s="35" t="s">
        <v>251</v>
      </c>
      <c r="B5" s="36"/>
      <c r="C5" s="146" t="s">
        <v>268</v>
      </c>
      <c r="D5" s="147"/>
      <c r="E5" s="148"/>
      <c r="F5" s="146" t="s">
        <v>269</v>
      </c>
      <c r="G5" s="147"/>
      <c r="H5" s="148"/>
      <c r="I5" s="146" t="s">
        <v>270</v>
      </c>
      <c r="J5" s="147"/>
      <c r="K5" s="148"/>
      <c r="L5" s="132" t="s">
        <v>271</v>
      </c>
      <c r="M5" s="132"/>
      <c r="N5" s="132"/>
      <c r="O5" s="132" t="s">
        <v>299</v>
      </c>
      <c r="P5" s="132"/>
      <c r="Q5" s="132"/>
      <c r="R5" s="132" t="s">
        <v>299</v>
      </c>
      <c r="S5" s="132"/>
      <c r="T5" s="132"/>
      <c r="U5" s="132" t="s">
        <v>299</v>
      </c>
      <c r="V5" s="132"/>
      <c r="W5" s="132"/>
      <c r="X5" s="132" t="s">
        <v>297</v>
      </c>
      <c r="Y5" s="132"/>
      <c r="Z5" s="132"/>
      <c r="AA5" s="132" t="s">
        <v>330</v>
      </c>
      <c r="AB5" s="132"/>
      <c r="AC5" s="132"/>
      <c r="AD5" s="143" t="s">
        <v>303</v>
      </c>
      <c r="AE5" s="176" t="s">
        <v>2</v>
      </c>
      <c r="AF5" s="177"/>
      <c r="AG5" s="177"/>
      <c r="AH5" s="177"/>
      <c r="AI5" s="177"/>
      <c r="AJ5" s="177"/>
      <c r="AK5" s="177"/>
      <c r="AL5" s="177"/>
      <c r="AM5" s="138" t="s">
        <v>91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1" ht="21.75" customHeight="1" x14ac:dyDescent="0.25">
      <c r="A6" s="162" t="s">
        <v>44</v>
      </c>
      <c r="B6" s="115"/>
      <c r="C6" s="167" t="s">
        <v>328</v>
      </c>
      <c r="D6" s="168"/>
      <c r="E6" s="169" t="s">
        <v>226</v>
      </c>
      <c r="F6" s="167" t="s">
        <v>328</v>
      </c>
      <c r="G6" s="168"/>
      <c r="H6" s="169" t="s">
        <v>226</v>
      </c>
      <c r="I6" s="167" t="s">
        <v>328</v>
      </c>
      <c r="J6" s="168"/>
      <c r="K6" s="169" t="s">
        <v>226</v>
      </c>
      <c r="L6" s="167" t="s">
        <v>328</v>
      </c>
      <c r="M6" s="168"/>
      <c r="N6" s="171" t="s">
        <v>226</v>
      </c>
      <c r="O6" s="167" t="s">
        <v>328</v>
      </c>
      <c r="P6" s="168"/>
      <c r="Q6" s="171" t="s">
        <v>226</v>
      </c>
      <c r="R6" s="167" t="s">
        <v>329</v>
      </c>
      <c r="S6" s="168"/>
      <c r="T6" s="171" t="s">
        <v>226</v>
      </c>
      <c r="U6" s="167" t="s">
        <v>252</v>
      </c>
      <c r="V6" s="168"/>
      <c r="W6" s="171" t="s">
        <v>226</v>
      </c>
      <c r="X6" s="167" t="s">
        <v>252</v>
      </c>
      <c r="Y6" s="168"/>
      <c r="Z6" s="171" t="s">
        <v>226</v>
      </c>
      <c r="AA6" s="132"/>
      <c r="AB6" s="132"/>
      <c r="AC6" s="132"/>
      <c r="AD6" s="143"/>
      <c r="AE6" s="136" t="s">
        <v>331</v>
      </c>
      <c r="AF6" s="136" t="s">
        <v>316</v>
      </c>
      <c r="AG6" s="136" t="s">
        <v>332</v>
      </c>
      <c r="AH6" s="136" t="s">
        <v>320</v>
      </c>
      <c r="AI6" s="136" t="s">
        <v>315</v>
      </c>
      <c r="AJ6" s="172" t="s">
        <v>333</v>
      </c>
      <c r="AK6" s="172" t="s">
        <v>317</v>
      </c>
      <c r="AL6" s="172" t="s">
        <v>334</v>
      </c>
      <c r="AM6" s="151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1" ht="110.25" customHeight="1" x14ac:dyDescent="0.25">
      <c r="A7" s="162"/>
      <c r="B7" s="116" t="s">
        <v>327</v>
      </c>
      <c r="C7" s="53" t="s">
        <v>227</v>
      </c>
      <c r="D7" s="15" t="s">
        <v>228</v>
      </c>
      <c r="E7" s="170"/>
      <c r="F7" s="53" t="s">
        <v>227</v>
      </c>
      <c r="G7" s="15" t="s">
        <v>228</v>
      </c>
      <c r="H7" s="170"/>
      <c r="I7" s="53" t="s">
        <v>227</v>
      </c>
      <c r="J7" s="15" t="s">
        <v>228</v>
      </c>
      <c r="K7" s="170"/>
      <c r="L7" s="15" t="s">
        <v>227</v>
      </c>
      <c r="M7" s="15" t="s">
        <v>228</v>
      </c>
      <c r="N7" s="171"/>
      <c r="O7" s="15" t="s">
        <v>227</v>
      </c>
      <c r="P7" s="15" t="s">
        <v>228</v>
      </c>
      <c r="Q7" s="171"/>
      <c r="R7" s="15" t="s">
        <v>227</v>
      </c>
      <c r="S7" s="15" t="s">
        <v>228</v>
      </c>
      <c r="T7" s="171"/>
      <c r="U7" s="15" t="s">
        <v>227</v>
      </c>
      <c r="V7" s="15" t="s">
        <v>228</v>
      </c>
      <c r="W7" s="171"/>
      <c r="X7" s="15" t="s">
        <v>227</v>
      </c>
      <c r="Y7" s="15" t="s">
        <v>228</v>
      </c>
      <c r="Z7" s="171"/>
      <c r="AA7" s="37" t="s">
        <v>8</v>
      </c>
      <c r="AB7" s="37" t="s">
        <v>9</v>
      </c>
      <c r="AC7" s="37" t="s">
        <v>10</v>
      </c>
      <c r="AD7" s="143"/>
      <c r="AE7" s="136"/>
      <c r="AF7" s="136"/>
      <c r="AG7" s="136"/>
      <c r="AH7" s="136"/>
      <c r="AI7" s="136"/>
      <c r="AJ7" s="173"/>
      <c r="AK7" s="173"/>
      <c r="AL7" s="173"/>
      <c r="AM7" s="152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1" ht="18.75" x14ac:dyDescent="0.3">
      <c r="A8" s="19" t="s">
        <v>229</v>
      </c>
      <c r="B8" s="102">
        <v>636.4</v>
      </c>
      <c r="C8" s="103">
        <v>48986.74</v>
      </c>
      <c r="D8" s="103">
        <v>30333.97</v>
      </c>
      <c r="E8" s="104">
        <v>46330.57</v>
      </c>
      <c r="F8" s="7">
        <v>70848.02</v>
      </c>
      <c r="G8" s="7">
        <v>63200.42</v>
      </c>
      <c r="H8" s="7">
        <v>66954.720000000001</v>
      </c>
      <c r="I8" s="105">
        <v>73546.2</v>
      </c>
      <c r="J8" s="105">
        <v>90668.25</v>
      </c>
      <c r="K8" s="106">
        <v>75659.429999999993</v>
      </c>
      <c r="L8" s="8">
        <v>75337.94</v>
      </c>
      <c r="M8" s="8">
        <v>72782.89</v>
      </c>
      <c r="N8" s="7">
        <v>74073.59</v>
      </c>
      <c r="O8" s="8">
        <f>C8+F8+I8+L8</f>
        <v>268718.90000000002</v>
      </c>
      <c r="P8" s="8">
        <f>D8+G8+J8+M8</f>
        <v>256985.53000000003</v>
      </c>
      <c r="Q8" s="8">
        <f>E8+H8+K8+N8</f>
        <v>263018.31</v>
      </c>
      <c r="R8" s="7">
        <v>119628.03</v>
      </c>
      <c r="S8" s="7">
        <v>74629.440000000002</v>
      </c>
      <c r="T8" s="7">
        <v>102431.12</v>
      </c>
      <c r="U8" s="8">
        <f>O8+R8</f>
        <v>388346.93000000005</v>
      </c>
      <c r="V8" s="8">
        <f>P8+S8</f>
        <v>331614.97000000003</v>
      </c>
      <c r="W8" s="8">
        <f>Q8+T8</f>
        <v>365449.43</v>
      </c>
      <c r="X8" s="7">
        <v>109028.98</v>
      </c>
      <c r="Y8" s="7">
        <v>85949.78</v>
      </c>
      <c r="Z8" s="7">
        <v>78816.990000000005</v>
      </c>
      <c r="AA8" s="8">
        <f>U8+X8</f>
        <v>497375.91000000003</v>
      </c>
      <c r="AB8" s="8">
        <f>V8+Y8</f>
        <v>417564.75</v>
      </c>
      <c r="AC8" s="8">
        <f>W8+Z8</f>
        <v>444266.42</v>
      </c>
      <c r="AD8" s="10">
        <f>AB8-AC8</f>
        <v>-26701.669999999984</v>
      </c>
      <c r="AE8" s="25">
        <v>-3775.4</v>
      </c>
      <c r="AF8" s="7">
        <v>-4655.1899999999996</v>
      </c>
      <c r="AG8" s="7">
        <f>-(391.61+135.61+3214.67)</f>
        <v>-3741.8900000000003</v>
      </c>
      <c r="AH8" s="7">
        <v>-836.32</v>
      </c>
      <c r="AI8" s="7">
        <f>AF8+AG8+AH8</f>
        <v>-9233.4</v>
      </c>
      <c r="AJ8" s="7">
        <v>-952.24</v>
      </c>
      <c r="AK8" s="7">
        <v>-1795.38</v>
      </c>
      <c r="AL8" s="7"/>
      <c r="AM8" s="10">
        <f>AD8+AE8+AI8+AJ8+AK8+AL8</f>
        <v>-42458.089999999982</v>
      </c>
    </row>
    <row r="9" spans="1:51" ht="18.75" x14ac:dyDescent="0.3">
      <c r="A9" s="19" t="s">
        <v>230</v>
      </c>
      <c r="B9" s="102">
        <v>647.79999999999995</v>
      </c>
      <c r="C9" s="103">
        <v>49880.6</v>
      </c>
      <c r="D9" s="103">
        <v>36944.1</v>
      </c>
      <c r="E9" s="104">
        <v>46533.599999999999</v>
      </c>
      <c r="F9" s="7">
        <v>72065.25</v>
      </c>
      <c r="G9" s="99">
        <v>55467.02</v>
      </c>
      <c r="H9" s="7">
        <v>68239.960000000006</v>
      </c>
      <c r="I9" s="105">
        <v>74741.100000000006</v>
      </c>
      <c r="J9" s="105">
        <v>58127.94</v>
      </c>
      <c r="K9" s="106">
        <v>74798.8</v>
      </c>
      <c r="L9" s="8">
        <v>76488.02</v>
      </c>
      <c r="M9" s="8">
        <v>59921.32</v>
      </c>
      <c r="N9" s="7">
        <v>84676.99</v>
      </c>
      <c r="O9" s="8">
        <f t="shared" ref="O9:Q34" si="0">C9+F9+I9+L9</f>
        <v>273174.97000000003</v>
      </c>
      <c r="P9" s="8">
        <f t="shared" si="0"/>
        <v>210460.38</v>
      </c>
      <c r="Q9" s="8">
        <f t="shared" si="0"/>
        <v>274249.34999999998</v>
      </c>
      <c r="R9" s="7">
        <v>121440.4</v>
      </c>
      <c r="S9" s="7">
        <v>69753.76999999999</v>
      </c>
      <c r="T9" s="7">
        <v>1418.9</v>
      </c>
      <c r="U9" s="8">
        <f t="shared" ref="U9:W33" si="1">O9+R9</f>
        <v>394615.37</v>
      </c>
      <c r="V9" s="8">
        <f t="shared" si="1"/>
        <v>280214.15000000002</v>
      </c>
      <c r="W9" s="8">
        <f t="shared" si="1"/>
        <v>275668.25</v>
      </c>
      <c r="X9" s="7">
        <v>110771.85</v>
      </c>
      <c r="Y9" s="7">
        <v>159357.37</v>
      </c>
      <c r="Z9" s="7">
        <v>81058.559999999998</v>
      </c>
      <c r="AA9" s="8">
        <f t="shared" ref="AA9:AC33" si="2">U9+X9</f>
        <v>505387.22</v>
      </c>
      <c r="AB9" s="8">
        <f t="shared" si="2"/>
        <v>439571.52</v>
      </c>
      <c r="AC9" s="8">
        <f t="shared" si="2"/>
        <v>356726.81</v>
      </c>
      <c r="AD9" s="10">
        <f t="shared" ref="AD9:AD33" si="3">AB9-AC9</f>
        <v>82844.710000000021</v>
      </c>
      <c r="AE9" s="25">
        <v>-3069.65</v>
      </c>
      <c r="AF9" s="7">
        <v>-21113.3</v>
      </c>
      <c r="AG9" s="7">
        <f>-(8766.4+3035.93+11816.71+23315.11)</f>
        <v>-46934.15</v>
      </c>
      <c r="AH9" s="7">
        <v>-56467.76</v>
      </c>
      <c r="AI9" s="7">
        <f t="shared" ref="AI9:AI34" si="4">AF9+AG9+AH9</f>
        <v>-124515.20999999999</v>
      </c>
      <c r="AJ9" s="7">
        <v>-5564.84</v>
      </c>
      <c r="AK9" s="7">
        <v>-1827.54</v>
      </c>
      <c r="AL9" s="7"/>
      <c r="AM9" s="10">
        <f t="shared" ref="AM9:AM34" si="5">AD9+AE9+AI9+AJ9+AK9+AL9</f>
        <v>-52132.529999999962</v>
      </c>
    </row>
    <row r="10" spans="1:51" ht="18.75" x14ac:dyDescent="0.3">
      <c r="A10" s="19" t="s">
        <v>231</v>
      </c>
      <c r="B10" s="102">
        <v>641</v>
      </c>
      <c r="C10" s="103">
        <v>49286.93</v>
      </c>
      <c r="D10" s="103">
        <v>44599.44</v>
      </c>
      <c r="E10" s="104">
        <v>46058.17</v>
      </c>
      <c r="F10" s="7">
        <v>71276.7</v>
      </c>
      <c r="G10" s="7">
        <v>69853.58</v>
      </c>
      <c r="H10" s="7">
        <v>68933.61</v>
      </c>
      <c r="I10" s="105">
        <v>73986.83</v>
      </c>
      <c r="J10" s="105">
        <v>70455.78</v>
      </c>
      <c r="K10" s="106">
        <v>73099.09</v>
      </c>
      <c r="L10" s="8">
        <v>75883.86</v>
      </c>
      <c r="M10" s="8">
        <v>88043.09</v>
      </c>
      <c r="N10" s="7">
        <v>75347.55</v>
      </c>
      <c r="O10" s="8">
        <f t="shared" si="0"/>
        <v>270434.32</v>
      </c>
      <c r="P10" s="8">
        <f t="shared" si="0"/>
        <v>272951.89</v>
      </c>
      <c r="Q10" s="8">
        <f t="shared" si="0"/>
        <v>263438.42</v>
      </c>
      <c r="R10" s="7">
        <v>148224.14000000001</v>
      </c>
      <c r="S10" s="7">
        <v>112755.25</v>
      </c>
      <c r="T10" s="7">
        <v>35914.400000000001</v>
      </c>
      <c r="U10" s="8">
        <f t="shared" si="1"/>
        <v>418658.46</v>
      </c>
      <c r="V10" s="8">
        <f t="shared" si="1"/>
        <v>385707.14</v>
      </c>
      <c r="W10" s="8">
        <f t="shared" si="1"/>
        <v>299352.82</v>
      </c>
      <c r="X10" s="7">
        <v>117107.88</v>
      </c>
      <c r="Y10" s="7">
        <v>115579.01</v>
      </c>
      <c r="Z10" s="7">
        <v>79749.02</v>
      </c>
      <c r="AA10" s="8">
        <f t="shared" si="2"/>
        <v>535766.34000000008</v>
      </c>
      <c r="AB10" s="8">
        <f t="shared" si="2"/>
        <v>501286.15</v>
      </c>
      <c r="AC10" s="8">
        <f t="shared" si="2"/>
        <v>379101.84</v>
      </c>
      <c r="AD10" s="10">
        <f t="shared" si="3"/>
        <v>122184.31</v>
      </c>
      <c r="AE10" s="25">
        <v>-4264.78</v>
      </c>
      <c r="AF10" s="7">
        <v>-24.38</v>
      </c>
      <c r="AG10" s="7"/>
      <c r="AH10" s="7"/>
      <c r="AI10" s="7">
        <f t="shared" si="4"/>
        <v>-24.38</v>
      </c>
      <c r="AJ10" s="7">
        <v>-569.98</v>
      </c>
      <c r="AK10" s="7">
        <v>-1808.36</v>
      </c>
      <c r="AL10" s="7"/>
      <c r="AM10" s="10">
        <f t="shared" si="5"/>
        <v>115516.81</v>
      </c>
    </row>
    <row r="11" spans="1:51" ht="18.75" x14ac:dyDescent="0.3">
      <c r="A11" s="19" t="s">
        <v>232</v>
      </c>
      <c r="B11" s="102">
        <v>634</v>
      </c>
      <c r="C11" s="103">
        <v>48748.480000000003</v>
      </c>
      <c r="D11" s="103">
        <v>37911.550000000003</v>
      </c>
      <c r="E11" s="104">
        <v>45568.77</v>
      </c>
      <c r="F11" s="7">
        <v>70727.09</v>
      </c>
      <c r="G11" s="7">
        <v>67837.429999999993</v>
      </c>
      <c r="H11" s="7">
        <v>66959.16</v>
      </c>
      <c r="I11" s="105">
        <v>73421.94</v>
      </c>
      <c r="J11" s="105">
        <v>66558.509999999995</v>
      </c>
      <c r="K11" s="106">
        <v>72158.13</v>
      </c>
      <c r="L11" s="8">
        <v>75273.279999999999</v>
      </c>
      <c r="M11" s="8">
        <v>73071.179999999993</v>
      </c>
      <c r="N11" s="7">
        <v>78964.38</v>
      </c>
      <c r="O11" s="8">
        <f t="shared" si="0"/>
        <v>268170.79000000004</v>
      </c>
      <c r="P11" s="8">
        <f t="shared" si="0"/>
        <v>245378.66999999998</v>
      </c>
      <c r="Q11" s="8">
        <f t="shared" si="0"/>
        <v>263650.44</v>
      </c>
      <c r="R11" s="7">
        <v>119130.25</v>
      </c>
      <c r="S11" s="7">
        <v>81065.473473841004</v>
      </c>
      <c r="T11" s="7">
        <v>82174.58</v>
      </c>
      <c r="U11" s="8">
        <f t="shared" si="1"/>
        <v>387301.04000000004</v>
      </c>
      <c r="V11" s="8">
        <f t="shared" si="1"/>
        <v>326444.14347384102</v>
      </c>
      <c r="W11" s="8">
        <f t="shared" si="1"/>
        <v>345825.02</v>
      </c>
      <c r="X11" s="7">
        <v>108844.74</v>
      </c>
      <c r="Y11" s="7">
        <v>138544</v>
      </c>
      <c r="Z11" s="7">
        <v>79597.460000000006</v>
      </c>
      <c r="AA11" s="8">
        <f t="shared" si="2"/>
        <v>496145.78</v>
      </c>
      <c r="AB11" s="8">
        <f t="shared" si="2"/>
        <v>464988.14347384102</v>
      </c>
      <c r="AC11" s="8">
        <f t="shared" si="2"/>
        <v>425422.48000000004</v>
      </c>
      <c r="AD11" s="10">
        <f t="shared" si="3"/>
        <v>39565.663473840978</v>
      </c>
      <c r="AE11" s="25">
        <v>-3583.34</v>
      </c>
      <c r="AF11" s="7"/>
      <c r="AG11" s="7"/>
      <c r="AH11" s="7"/>
      <c r="AI11" s="7">
        <f t="shared" si="4"/>
        <v>0</v>
      </c>
      <c r="AJ11" s="7">
        <v>-1030.33</v>
      </c>
      <c r="AK11" s="7">
        <v>-1788.61</v>
      </c>
      <c r="AL11" s="7"/>
      <c r="AM11" s="10">
        <f t="shared" si="5"/>
        <v>33163.383473840979</v>
      </c>
    </row>
    <row r="12" spans="1:51" ht="18.75" x14ac:dyDescent="0.3">
      <c r="A12" s="19" t="s">
        <v>233</v>
      </c>
      <c r="B12" s="102">
        <v>632.20000000000005</v>
      </c>
      <c r="C12" s="103">
        <v>48606.12</v>
      </c>
      <c r="D12" s="103">
        <v>40004.949999999997</v>
      </c>
      <c r="E12" s="104">
        <v>45442.92</v>
      </c>
      <c r="F12" s="7">
        <v>70186.05</v>
      </c>
      <c r="G12" s="7">
        <v>68630.649999999994</v>
      </c>
      <c r="H12" s="7">
        <v>67091.360000000001</v>
      </c>
      <c r="I12" s="105">
        <v>72857.22</v>
      </c>
      <c r="J12" s="105">
        <v>73448.59</v>
      </c>
      <c r="K12" s="106">
        <v>71808.23</v>
      </c>
      <c r="L12" s="8">
        <v>74541.91</v>
      </c>
      <c r="M12" s="8">
        <v>75112.59</v>
      </c>
      <c r="N12" s="7">
        <v>75861.83</v>
      </c>
      <c r="O12" s="8">
        <f t="shared" si="0"/>
        <v>266191.30000000005</v>
      </c>
      <c r="P12" s="8">
        <f t="shared" si="0"/>
        <v>257196.78</v>
      </c>
      <c r="Q12" s="8">
        <f t="shared" si="0"/>
        <v>260204.34000000003</v>
      </c>
      <c r="R12" s="7">
        <v>118487.19</v>
      </c>
      <c r="S12" s="7">
        <v>84316.560500469961</v>
      </c>
      <c r="T12" s="7">
        <v>64081</v>
      </c>
      <c r="U12" s="8">
        <f t="shared" si="1"/>
        <v>384678.49000000005</v>
      </c>
      <c r="V12" s="8">
        <f t="shared" si="1"/>
        <v>341513.34050046996</v>
      </c>
      <c r="W12" s="8">
        <f t="shared" si="1"/>
        <v>324285.34000000003</v>
      </c>
      <c r="X12" s="7">
        <v>108004.58</v>
      </c>
      <c r="Y12" s="7">
        <v>108657.35</v>
      </c>
      <c r="Z12" s="7">
        <v>78229.38</v>
      </c>
      <c r="AA12" s="8">
        <f t="shared" si="2"/>
        <v>492683.07000000007</v>
      </c>
      <c r="AB12" s="8">
        <f t="shared" si="2"/>
        <v>450170.69050046999</v>
      </c>
      <c r="AC12" s="8">
        <f t="shared" si="2"/>
        <v>402514.72000000003</v>
      </c>
      <c r="AD12" s="10">
        <f t="shared" si="3"/>
        <v>47655.970500469964</v>
      </c>
      <c r="AE12" s="25">
        <v>-3750.05</v>
      </c>
      <c r="AF12" s="7">
        <v>-1131.98</v>
      </c>
      <c r="AG12" s="7">
        <f>-(479.85+166.17+1369.12)</f>
        <v>-2015.1399999999999</v>
      </c>
      <c r="AH12" s="7">
        <v>-707.26</v>
      </c>
      <c r="AI12" s="7">
        <f t="shared" si="4"/>
        <v>-3854.38</v>
      </c>
      <c r="AJ12" s="7">
        <f>-(503+520.08)</f>
        <v>-1023.08</v>
      </c>
      <c r="AK12" s="7">
        <v>-1783.53</v>
      </c>
      <c r="AL12" s="7"/>
      <c r="AM12" s="10">
        <f t="shared" si="5"/>
        <v>37244.930500469964</v>
      </c>
    </row>
    <row r="13" spans="1:51" ht="18.75" x14ac:dyDescent="0.3">
      <c r="A13" s="19" t="s">
        <v>234</v>
      </c>
      <c r="B13" s="102">
        <v>1460.92</v>
      </c>
      <c r="C13" s="103">
        <f>123723.39+59087.49</f>
        <v>182810.88</v>
      </c>
      <c r="D13" s="103">
        <f>101738.96+48588.16</f>
        <v>150327.12</v>
      </c>
      <c r="E13" s="107">
        <f>102735.87+49414.16</f>
        <v>152150.03</v>
      </c>
      <c r="F13" s="7">
        <v>246379.87</v>
      </c>
      <c r="G13" s="7">
        <v>231131.2</v>
      </c>
      <c r="H13" s="7">
        <v>208424.87</v>
      </c>
      <c r="I13" s="105">
        <v>261981.77</v>
      </c>
      <c r="J13" s="105">
        <v>230964.97</v>
      </c>
      <c r="K13" s="106">
        <v>241229.4</v>
      </c>
      <c r="L13" s="8">
        <v>268286.58</v>
      </c>
      <c r="M13" s="8">
        <v>267756.95</v>
      </c>
      <c r="N13" s="7">
        <v>278775.49</v>
      </c>
      <c r="O13" s="8">
        <f t="shared" si="0"/>
        <v>959459.10000000009</v>
      </c>
      <c r="P13" s="8">
        <f t="shared" si="0"/>
        <v>880180.24</v>
      </c>
      <c r="Q13" s="8">
        <f t="shared" si="0"/>
        <v>880579.79</v>
      </c>
      <c r="R13" s="7">
        <v>259028.66</v>
      </c>
      <c r="S13" s="7">
        <v>179627.45625383774</v>
      </c>
      <c r="T13" s="7">
        <v>118673.98999999999</v>
      </c>
      <c r="U13" s="8">
        <f t="shared" si="1"/>
        <v>1218487.76</v>
      </c>
      <c r="V13" s="8">
        <f t="shared" si="1"/>
        <v>1059807.6962538378</v>
      </c>
      <c r="W13" s="8">
        <f t="shared" si="1"/>
        <v>999253.78</v>
      </c>
      <c r="X13" s="7">
        <v>349881.17</v>
      </c>
      <c r="Y13" s="7">
        <v>334463.46999999997</v>
      </c>
      <c r="Z13" s="7">
        <v>276843.56</v>
      </c>
      <c r="AA13" s="8">
        <f t="shared" si="2"/>
        <v>1568368.93</v>
      </c>
      <c r="AB13" s="8">
        <f t="shared" si="2"/>
        <v>1394271.1662538378</v>
      </c>
      <c r="AC13" s="8">
        <f t="shared" si="2"/>
        <v>1276097.3400000001</v>
      </c>
      <c r="AD13" s="10">
        <f t="shared" si="3"/>
        <v>118173.82625383767</v>
      </c>
      <c r="AE13" s="25">
        <v>-11297.05</v>
      </c>
      <c r="AF13" s="7">
        <v>-6546.6</v>
      </c>
      <c r="AG13" s="7">
        <f>-(1366.69+473.29+1215.77+8118.78)</f>
        <v>-11174.529999999999</v>
      </c>
      <c r="AH13" s="7">
        <v>-6401.11</v>
      </c>
      <c r="AI13" s="7">
        <f t="shared" si="4"/>
        <v>-24122.239999999998</v>
      </c>
      <c r="AJ13" s="7">
        <v>-2868.76</v>
      </c>
      <c r="AK13" s="7">
        <v>-4121.4799999999996</v>
      </c>
      <c r="AL13" s="7"/>
      <c r="AM13" s="10">
        <f t="shared" si="5"/>
        <v>75764.296253837674</v>
      </c>
    </row>
    <row r="14" spans="1:51" ht="18.75" x14ac:dyDescent="0.3">
      <c r="A14" s="19" t="s">
        <v>235</v>
      </c>
      <c r="B14" s="102">
        <v>1486.39</v>
      </c>
      <c r="C14" s="103">
        <f>123859.78+59478.98</f>
        <v>183338.76</v>
      </c>
      <c r="D14" s="103">
        <f>107533.38+51638.85</f>
        <v>159172.23000000001</v>
      </c>
      <c r="E14" s="107">
        <f>107040.07+49263.7</f>
        <v>156303.77000000002</v>
      </c>
      <c r="F14" s="7">
        <v>246816.05</v>
      </c>
      <c r="G14" s="7">
        <v>232662.71</v>
      </c>
      <c r="H14" s="7">
        <v>209354.55</v>
      </c>
      <c r="I14" s="105">
        <v>263185.39</v>
      </c>
      <c r="J14" s="105">
        <v>242857.15</v>
      </c>
      <c r="K14" s="106">
        <v>240570.49</v>
      </c>
      <c r="L14" s="8">
        <v>269408.92</v>
      </c>
      <c r="M14" s="8">
        <v>243805.05</v>
      </c>
      <c r="N14" s="7">
        <v>279546.27</v>
      </c>
      <c r="O14" s="8">
        <f t="shared" si="0"/>
        <v>962749.11999999988</v>
      </c>
      <c r="P14" s="8">
        <f t="shared" si="0"/>
        <v>878497.1399999999</v>
      </c>
      <c r="Q14" s="8">
        <f t="shared" si="0"/>
        <v>885775.08000000007</v>
      </c>
      <c r="R14" s="7">
        <v>260060.27</v>
      </c>
      <c r="S14" s="7">
        <v>172280.46738282952</v>
      </c>
      <c r="T14" s="7">
        <v>106342.49</v>
      </c>
      <c r="U14" s="8">
        <f t="shared" si="1"/>
        <v>1222809.3899999999</v>
      </c>
      <c r="V14" s="8">
        <f t="shared" si="1"/>
        <v>1050777.6073828293</v>
      </c>
      <c r="W14" s="8">
        <f t="shared" si="1"/>
        <v>992117.57000000007</v>
      </c>
      <c r="X14" s="7">
        <v>351331.36</v>
      </c>
      <c r="Y14" s="7">
        <v>297034.59999999998</v>
      </c>
      <c r="Z14" s="7">
        <v>276821.43</v>
      </c>
      <c r="AA14" s="8">
        <f t="shared" si="2"/>
        <v>1574140.75</v>
      </c>
      <c r="AB14" s="8">
        <f t="shared" si="2"/>
        <v>1347812.2073828294</v>
      </c>
      <c r="AC14" s="8">
        <f t="shared" si="2"/>
        <v>1268939</v>
      </c>
      <c r="AD14" s="10">
        <f t="shared" si="3"/>
        <v>78873.207382829394</v>
      </c>
      <c r="AE14" s="25">
        <v>-11243.49</v>
      </c>
      <c r="AF14" s="7">
        <v>-9929.52</v>
      </c>
      <c r="AG14" s="7">
        <f>-(2769.09+958.97+3774.1+17712.24)</f>
        <v>-25214.400000000001</v>
      </c>
      <c r="AH14" s="7">
        <v>-7915.89</v>
      </c>
      <c r="AI14" s="7">
        <f t="shared" si="4"/>
        <v>-43059.81</v>
      </c>
      <c r="AJ14" s="7">
        <v>-1548.17</v>
      </c>
      <c r="AK14" s="7">
        <v>-4193.34</v>
      </c>
      <c r="AL14" s="7"/>
      <c r="AM14" s="10">
        <f t="shared" si="5"/>
        <v>18828.397382829393</v>
      </c>
    </row>
    <row r="15" spans="1:51" ht="18.75" x14ac:dyDescent="0.3">
      <c r="A15" s="19" t="s">
        <v>236</v>
      </c>
      <c r="B15" s="102">
        <v>797.5</v>
      </c>
      <c r="C15" s="103">
        <v>60967.28</v>
      </c>
      <c r="D15" s="103">
        <v>48313.67</v>
      </c>
      <c r="E15" s="107">
        <v>57596.06</v>
      </c>
      <c r="F15" s="7">
        <v>88395.5</v>
      </c>
      <c r="G15" s="7">
        <v>78746.720000000001</v>
      </c>
      <c r="H15" s="7">
        <v>84717.66</v>
      </c>
      <c r="I15" s="105">
        <v>69938.38</v>
      </c>
      <c r="J15" s="105">
        <v>66153.75</v>
      </c>
      <c r="K15" s="106">
        <v>92363.16</v>
      </c>
      <c r="L15" s="100">
        <v>93983.63</v>
      </c>
      <c r="M15" s="8">
        <v>104084.79</v>
      </c>
      <c r="N15" s="7">
        <v>94311.679999999993</v>
      </c>
      <c r="O15" s="8">
        <f t="shared" si="0"/>
        <v>313284.79000000004</v>
      </c>
      <c r="P15" s="8">
        <f t="shared" si="0"/>
        <v>297298.93</v>
      </c>
      <c r="Q15" s="8">
        <f t="shared" si="0"/>
        <v>328988.56</v>
      </c>
      <c r="R15" s="7">
        <v>141197.20000000001</v>
      </c>
      <c r="S15" s="7">
        <v>86361.51</v>
      </c>
      <c r="T15" s="7">
        <v>66444</v>
      </c>
      <c r="U15" s="8">
        <f t="shared" si="1"/>
        <v>454481.99000000005</v>
      </c>
      <c r="V15" s="8">
        <f t="shared" si="1"/>
        <v>383660.44</v>
      </c>
      <c r="W15" s="8">
        <f t="shared" si="1"/>
        <v>395432.56</v>
      </c>
      <c r="X15" s="7">
        <v>128492.53</v>
      </c>
      <c r="Y15" s="7">
        <v>119516.16</v>
      </c>
      <c r="Z15" s="7">
        <v>97791.07</v>
      </c>
      <c r="AA15" s="8">
        <f t="shared" si="2"/>
        <v>582974.52</v>
      </c>
      <c r="AB15" s="8">
        <f t="shared" si="2"/>
        <v>503176.6</v>
      </c>
      <c r="AC15" s="8">
        <f t="shared" si="2"/>
        <v>493223.63</v>
      </c>
      <c r="AD15" s="10">
        <f t="shared" si="3"/>
        <v>9952.9699999999721</v>
      </c>
      <c r="AE15" s="25">
        <v>-4313.3</v>
      </c>
      <c r="AF15" s="7">
        <v>-9816.1299999999992</v>
      </c>
      <c r="AG15" s="7">
        <v>-10314.73</v>
      </c>
      <c r="AH15" s="7">
        <v>-2152.69</v>
      </c>
      <c r="AI15" s="7">
        <f t="shared" si="4"/>
        <v>-22283.55</v>
      </c>
      <c r="AJ15" s="7"/>
      <c r="AK15" s="7">
        <v>-2249.87</v>
      </c>
      <c r="AL15" s="7"/>
      <c r="AM15" s="10">
        <f t="shared" si="5"/>
        <v>-18893.750000000025</v>
      </c>
    </row>
    <row r="16" spans="1:51" ht="18.75" x14ac:dyDescent="0.3">
      <c r="A16" s="19" t="s">
        <v>237</v>
      </c>
      <c r="B16" s="102">
        <v>804</v>
      </c>
      <c r="C16" s="103">
        <v>61129.09</v>
      </c>
      <c r="D16" s="103">
        <v>53216.15</v>
      </c>
      <c r="E16" s="107">
        <v>58432.82</v>
      </c>
      <c r="F16" s="7">
        <v>88582.07</v>
      </c>
      <c r="G16" s="7">
        <v>88351.51</v>
      </c>
      <c r="H16" s="7">
        <v>85992.15</v>
      </c>
      <c r="I16" s="105">
        <v>70082.61</v>
      </c>
      <c r="J16" s="105">
        <v>75388.22</v>
      </c>
      <c r="K16" s="106">
        <v>90968.49</v>
      </c>
      <c r="L16" s="100">
        <v>94179.5</v>
      </c>
      <c r="M16" s="8">
        <v>81972.679999999993</v>
      </c>
      <c r="N16" s="7">
        <v>94509.19</v>
      </c>
      <c r="O16" s="8">
        <f t="shared" si="0"/>
        <v>313973.27</v>
      </c>
      <c r="P16" s="8">
        <f t="shared" si="0"/>
        <v>298928.56</v>
      </c>
      <c r="Q16" s="8">
        <f t="shared" si="0"/>
        <v>329902.65000000002</v>
      </c>
      <c r="R16" s="7">
        <v>141512.93</v>
      </c>
      <c r="S16" s="7">
        <v>84903.66</v>
      </c>
      <c r="T16" s="7">
        <v>102287.89</v>
      </c>
      <c r="U16" s="8">
        <f t="shared" si="1"/>
        <v>455486.2</v>
      </c>
      <c r="V16" s="8">
        <f t="shared" si="1"/>
        <v>383832.22</v>
      </c>
      <c r="W16" s="8">
        <f t="shared" si="1"/>
        <v>432190.54000000004</v>
      </c>
      <c r="X16" s="7">
        <v>128761.56</v>
      </c>
      <c r="Y16" s="7">
        <v>134155.65</v>
      </c>
      <c r="Z16" s="7">
        <v>100776.76</v>
      </c>
      <c r="AA16" s="8">
        <f t="shared" si="2"/>
        <v>584247.76</v>
      </c>
      <c r="AB16" s="8">
        <f t="shared" si="2"/>
        <v>517987.87</v>
      </c>
      <c r="AC16" s="8">
        <f t="shared" si="2"/>
        <v>532967.30000000005</v>
      </c>
      <c r="AD16" s="10">
        <f t="shared" si="3"/>
        <v>-14979.430000000051</v>
      </c>
      <c r="AE16" s="25">
        <v>-4404.22</v>
      </c>
      <c r="AF16" s="7"/>
      <c r="AG16" s="7"/>
      <c r="AH16" s="7"/>
      <c r="AI16" s="7">
        <f t="shared" si="4"/>
        <v>0</v>
      </c>
      <c r="AJ16" s="7">
        <v>-225.21</v>
      </c>
      <c r="AK16" s="7">
        <v>-2268.21</v>
      </c>
      <c r="AL16" s="7"/>
      <c r="AM16" s="10">
        <f t="shared" si="5"/>
        <v>-21877.070000000051</v>
      </c>
    </row>
    <row r="17" spans="1:39" ht="18.75" x14ac:dyDescent="0.3">
      <c r="A17" s="19" t="s">
        <v>238</v>
      </c>
      <c r="B17" s="102">
        <v>328.7</v>
      </c>
      <c r="C17" s="103">
        <v>25382.17</v>
      </c>
      <c r="D17" s="103">
        <v>20047.400000000001</v>
      </c>
      <c r="E17" s="107">
        <v>24729.88</v>
      </c>
      <c r="F17" s="7">
        <v>37793.870000000003</v>
      </c>
      <c r="G17" s="7">
        <v>40458.980000000003</v>
      </c>
      <c r="H17" s="7">
        <v>35883.89</v>
      </c>
      <c r="I17" s="105">
        <v>40331.410000000003</v>
      </c>
      <c r="J17" s="105">
        <v>39610.199999999997</v>
      </c>
      <c r="K17" s="106">
        <v>37967.72</v>
      </c>
      <c r="L17" s="8">
        <v>40802.019999999997</v>
      </c>
      <c r="M17" s="8">
        <v>36150.339999999997</v>
      </c>
      <c r="N17" s="7">
        <v>39088.26</v>
      </c>
      <c r="O17" s="8">
        <f t="shared" si="0"/>
        <v>144309.47</v>
      </c>
      <c r="P17" s="8">
        <f t="shared" si="0"/>
        <v>136266.91999999998</v>
      </c>
      <c r="Q17" s="8">
        <f t="shared" si="0"/>
        <v>137669.75</v>
      </c>
      <c r="R17" s="7">
        <v>48650.991999999998</v>
      </c>
      <c r="S17" s="7">
        <v>33677.67</v>
      </c>
      <c r="T17" s="7">
        <v>345.19</v>
      </c>
      <c r="U17" s="8">
        <f t="shared" si="1"/>
        <v>192960.462</v>
      </c>
      <c r="V17" s="8">
        <f t="shared" si="1"/>
        <v>169944.58999999997</v>
      </c>
      <c r="W17" s="8">
        <f t="shared" si="1"/>
        <v>138014.94</v>
      </c>
      <c r="X17" s="7">
        <v>54745.07</v>
      </c>
      <c r="Y17" s="7">
        <v>61936.1</v>
      </c>
      <c r="Z17" s="7">
        <v>43836.72</v>
      </c>
      <c r="AA17" s="8">
        <f t="shared" si="2"/>
        <v>247705.53200000001</v>
      </c>
      <c r="AB17" s="8">
        <f t="shared" si="2"/>
        <v>231880.68999999997</v>
      </c>
      <c r="AC17" s="8">
        <f t="shared" si="2"/>
        <v>181851.66</v>
      </c>
      <c r="AD17" s="10">
        <f t="shared" si="3"/>
        <v>50029.02999999997</v>
      </c>
      <c r="AE17" s="25">
        <v>-1832.56</v>
      </c>
      <c r="AF17" s="7"/>
      <c r="AG17" s="7"/>
      <c r="AH17" s="7"/>
      <c r="AI17" s="7">
        <f t="shared" si="4"/>
        <v>0</v>
      </c>
      <c r="AJ17" s="7"/>
      <c r="AK17" s="7">
        <v>-927.31</v>
      </c>
      <c r="AL17" s="7"/>
      <c r="AM17" s="10">
        <f t="shared" si="5"/>
        <v>47269.159999999974</v>
      </c>
    </row>
    <row r="18" spans="1:39" ht="18.75" x14ac:dyDescent="0.3">
      <c r="A18" s="19" t="s">
        <v>239</v>
      </c>
      <c r="B18" s="102">
        <v>3928.89</v>
      </c>
      <c r="C18" s="103">
        <f>320275.4+117881.59</f>
        <v>438156.99</v>
      </c>
      <c r="D18" s="103">
        <f>262687.3+96685.56</f>
        <v>359372.86</v>
      </c>
      <c r="E18" s="107">
        <f>289375.25+88359.95</f>
        <v>377735.2</v>
      </c>
      <c r="F18" s="7">
        <v>629463.09</v>
      </c>
      <c r="G18" s="7">
        <v>601963.42000000004</v>
      </c>
      <c r="H18" s="7">
        <v>566347.19999999995</v>
      </c>
      <c r="I18" s="105">
        <v>719748.15</v>
      </c>
      <c r="J18" s="105">
        <v>671703.53</v>
      </c>
      <c r="K18" s="106">
        <v>689516.37</v>
      </c>
      <c r="L18" s="8">
        <v>718278.19</v>
      </c>
      <c r="M18" s="8">
        <v>728180.92</v>
      </c>
      <c r="N18" s="7">
        <v>728364.82</v>
      </c>
      <c r="O18" s="8">
        <f t="shared" si="0"/>
        <v>2505646.42</v>
      </c>
      <c r="P18" s="8">
        <f t="shared" si="0"/>
        <v>2361220.73</v>
      </c>
      <c r="Q18" s="8">
        <f t="shared" si="0"/>
        <v>2361963.59</v>
      </c>
      <c r="R18" s="7">
        <v>737738.98</v>
      </c>
      <c r="S18" s="7">
        <v>524951.6</v>
      </c>
      <c r="T18" s="7">
        <v>290068.52999999997</v>
      </c>
      <c r="U18" s="8">
        <f t="shared" si="1"/>
        <v>3243385.4</v>
      </c>
      <c r="V18" s="8">
        <f t="shared" si="1"/>
        <v>2886172.33</v>
      </c>
      <c r="W18" s="8">
        <f t="shared" si="1"/>
        <v>2652032.1199999996</v>
      </c>
      <c r="X18" s="7">
        <v>955475.53</v>
      </c>
      <c r="Y18" s="7">
        <v>932822.47</v>
      </c>
      <c r="Z18" s="7">
        <v>805880.34</v>
      </c>
      <c r="AA18" s="8">
        <f t="shared" si="2"/>
        <v>4198860.93</v>
      </c>
      <c r="AB18" s="8">
        <f t="shared" si="2"/>
        <v>3818994.8</v>
      </c>
      <c r="AC18" s="8">
        <f t="shared" si="2"/>
        <v>3457912.4599999995</v>
      </c>
      <c r="AD18" s="10">
        <f t="shared" si="3"/>
        <v>361082.34000000032</v>
      </c>
      <c r="AE18" s="25">
        <v>-30766.01</v>
      </c>
      <c r="AF18" s="7">
        <v>-20847.79</v>
      </c>
      <c r="AG18" s="7">
        <f>-(3716.41+1287.03+5263.33+5504.23)</f>
        <v>-15771</v>
      </c>
      <c r="AH18" s="7">
        <v>-26772.83</v>
      </c>
      <c r="AI18" s="7">
        <f t="shared" si="4"/>
        <v>-63391.62</v>
      </c>
      <c r="AJ18" s="7">
        <v>-2473.85</v>
      </c>
      <c r="AK18" s="7">
        <v>-11084.01</v>
      </c>
      <c r="AL18" s="7">
        <v>-41442</v>
      </c>
      <c r="AM18" s="10">
        <f t="shared" si="5"/>
        <v>211924.85000000033</v>
      </c>
    </row>
    <row r="19" spans="1:39" ht="18.75" x14ac:dyDescent="0.3">
      <c r="A19" s="19" t="s">
        <v>253</v>
      </c>
      <c r="B19" s="102"/>
      <c r="C19" s="103">
        <v>5968.93</v>
      </c>
      <c r="D19" s="103">
        <v>4592.32</v>
      </c>
      <c r="E19" s="107">
        <v>4420.82</v>
      </c>
      <c r="F19" s="7">
        <v>8515.7999999999993</v>
      </c>
      <c r="G19" s="7">
        <v>5876.16</v>
      </c>
      <c r="H19" s="7">
        <v>8390.2199999999993</v>
      </c>
      <c r="I19" s="105">
        <v>8741.64</v>
      </c>
      <c r="J19" s="105">
        <v>16385.14</v>
      </c>
      <c r="K19" s="106">
        <v>12073.01</v>
      </c>
      <c r="L19" s="8">
        <v>8884.14</v>
      </c>
      <c r="M19" s="8">
        <v>5630.74</v>
      </c>
      <c r="N19" s="7">
        <v>12604.2</v>
      </c>
      <c r="O19" s="8">
        <f t="shared" si="0"/>
        <v>32110.51</v>
      </c>
      <c r="P19" s="8">
        <f t="shared" si="0"/>
        <v>32484.36</v>
      </c>
      <c r="Q19" s="8">
        <f t="shared" si="0"/>
        <v>37488.25</v>
      </c>
      <c r="R19" s="7"/>
      <c r="S19" s="7"/>
      <c r="T19" s="7"/>
      <c r="U19" s="8">
        <f t="shared" si="1"/>
        <v>32110.51</v>
      </c>
      <c r="V19" s="8">
        <f t="shared" si="1"/>
        <v>32484.36</v>
      </c>
      <c r="W19" s="8">
        <f t="shared" si="1"/>
        <v>37488.25</v>
      </c>
      <c r="X19" s="7">
        <v>9126.94</v>
      </c>
      <c r="Y19" s="7">
        <v>6309.84</v>
      </c>
      <c r="Z19" s="7">
        <v>12436.81</v>
      </c>
      <c r="AA19" s="8">
        <f t="shared" si="2"/>
        <v>41237.449999999997</v>
      </c>
      <c r="AB19" s="8">
        <f t="shared" si="2"/>
        <v>38794.199999999997</v>
      </c>
      <c r="AC19" s="8">
        <f t="shared" si="2"/>
        <v>49925.06</v>
      </c>
      <c r="AD19" s="10">
        <f t="shared" si="3"/>
        <v>-11130.86</v>
      </c>
      <c r="AE19" s="25">
        <v>-324.83999999999997</v>
      </c>
      <c r="AF19" s="7">
        <v>-11733.38</v>
      </c>
      <c r="AG19" s="7">
        <f>-(4137.09+1074.54+4184.68+11731.12)</f>
        <v>-21127.43</v>
      </c>
      <c r="AH19" s="7"/>
      <c r="AI19" s="7">
        <f t="shared" si="4"/>
        <v>-32860.81</v>
      </c>
      <c r="AJ19" s="7"/>
      <c r="AK19" s="7">
        <v>-333.18</v>
      </c>
      <c r="AL19" s="7"/>
      <c r="AM19" s="10">
        <f t="shared" si="5"/>
        <v>-44649.689999999995</v>
      </c>
    </row>
    <row r="20" spans="1:39" ht="18.75" x14ac:dyDescent="0.3">
      <c r="A20" s="19" t="s">
        <v>240</v>
      </c>
      <c r="B20" s="102">
        <v>796.8</v>
      </c>
      <c r="C20" s="103">
        <v>61255.59</v>
      </c>
      <c r="D20" s="103">
        <v>48680.82</v>
      </c>
      <c r="E20" s="107">
        <v>57618.25</v>
      </c>
      <c r="F20" s="7">
        <v>88884.94</v>
      </c>
      <c r="G20" s="7">
        <v>77059.78</v>
      </c>
      <c r="H20" s="7">
        <v>84797.95</v>
      </c>
      <c r="I20" s="105">
        <v>92505.44</v>
      </c>
      <c r="J20" s="105">
        <v>78551</v>
      </c>
      <c r="K20" s="106">
        <v>92174.13</v>
      </c>
      <c r="L20" s="8">
        <v>94943.96</v>
      </c>
      <c r="M20" s="8">
        <v>84137.13</v>
      </c>
      <c r="N20" s="7">
        <v>94573.27</v>
      </c>
      <c r="O20" s="8">
        <f t="shared" si="0"/>
        <v>337589.93</v>
      </c>
      <c r="P20" s="8">
        <f t="shared" si="0"/>
        <v>288428.73</v>
      </c>
      <c r="Q20" s="8">
        <f t="shared" si="0"/>
        <v>329163.60000000003</v>
      </c>
      <c r="R20" s="7">
        <v>161096.67800000001</v>
      </c>
      <c r="S20" s="7">
        <v>103446.37</v>
      </c>
      <c r="T20" s="7">
        <v>1013.7</v>
      </c>
      <c r="U20" s="8">
        <f t="shared" si="1"/>
        <v>498686.60800000001</v>
      </c>
      <c r="V20" s="8">
        <f t="shared" si="1"/>
        <v>391875.1</v>
      </c>
      <c r="W20" s="8">
        <f t="shared" si="1"/>
        <v>330177.30000000005</v>
      </c>
      <c r="X20" s="7">
        <v>140435.79</v>
      </c>
      <c r="Y20" s="7">
        <v>117393.38</v>
      </c>
      <c r="Z20" s="7">
        <v>110740.85</v>
      </c>
      <c r="AA20" s="8">
        <f t="shared" si="2"/>
        <v>639122.39800000004</v>
      </c>
      <c r="AB20" s="8">
        <f t="shared" si="2"/>
        <v>509268.47999999998</v>
      </c>
      <c r="AC20" s="8">
        <f t="shared" si="2"/>
        <v>440918.15</v>
      </c>
      <c r="AD20" s="10">
        <f t="shared" si="3"/>
        <v>68350.329999999958</v>
      </c>
      <c r="AE20" s="25">
        <v>-4313.8999999999996</v>
      </c>
      <c r="AF20" s="7"/>
      <c r="AG20" s="7"/>
      <c r="AH20" s="7">
        <v>-7275.74</v>
      </c>
      <c r="AI20" s="7">
        <f t="shared" si="4"/>
        <v>-7275.74</v>
      </c>
      <c r="AJ20" s="7">
        <v>-2147.0500000000002</v>
      </c>
      <c r="AK20" s="7">
        <v>-2247.9</v>
      </c>
      <c r="AL20" s="7"/>
      <c r="AM20" s="10">
        <f t="shared" si="5"/>
        <v>52365.739999999954</v>
      </c>
    </row>
    <row r="21" spans="1:39" ht="18.75" x14ac:dyDescent="0.3">
      <c r="A21" s="19" t="s">
        <v>241</v>
      </c>
      <c r="B21" s="102">
        <v>842</v>
      </c>
      <c r="C21" s="103">
        <v>64219.94</v>
      </c>
      <c r="D21" s="103">
        <v>59292.1</v>
      </c>
      <c r="E21" s="107">
        <v>60847.44</v>
      </c>
      <c r="F21" s="7">
        <v>92783.73</v>
      </c>
      <c r="G21" s="7">
        <v>89469.24</v>
      </c>
      <c r="H21" s="7">
        <v>89390.85</v>
      </c>
      <c r="I21" s="105">
        <v>96555.92</v>
      </c>
      <c r="J21" s="105">
        <v>88695.28</v>
      </c>
      <c r="K21" s="106">
        <v>95262.27</v>
      </c>
      <c r="L21" s="8">
        <v>98616.34</v>
      </c>
      <c r="M21" s="8">
        <v>125635.73</v>
      </c>
      <c r="N21" s="7">
        <v>97300.93</v>
      </c>
      <c r="O21" s="8">
        <f t="shared" si="0"/>
        <v>352175.92999999993</v>
      </c>
      <c r="P21" s="8">
        <f t="shared" si="0"/>
        <v>363092.35</v>
      </c>
      <c r="Q21" s="8">
        <f t="shared" si="0"/>
        <v>342801.49</v>
      </c>
      <c r="R21" s="7">
        <v>169753.53999999998</v>
      </c>
      <c r="S21" s="7">
        <v>136177.45000000001</v>
      </c>
      <c r="T21" s="7">
        <v>64265.5</v>
      </c>
      <c r="U21" s="8">
        <f t="shared" si="1"/>
        <v>521929.46999999991</v>
      </c>
      <c r="V21" s="8">
        <f t="shared" si="1"/>
        <v>499269.8</v>
      </c>
      <c r="W21" s="8">
        <f t="shared" si="1"/>
        <v>407066.99</v>
      </c>
      <c r="X21" s="7">
        <v>146841.24</v>
      </c>
      <c r="Y21" s="7">
        <v>126402.03</v>
      </c>
      <c r="Z21" s="7">
        <v>102991.66</v>
      </c>
      <c r="AA21" s="8">
        <f t="shared" si="2"/>
        <v>668770.71</v>
      </c>
      <c r="AB21" s="8">
        <f t="shared" si="2"/>
        <v>625671.82999999996</v>
      </c>
      <c r="AC21" s="8">
        <f t="shared" si="2"/>
        <v>510058.65</v>
      </c>
      <c r="AD21" s="10">
        <f t="shared" si="3"/>
        <v>115613.17999999993</v>
      </c>
      <c r="AE21" s="25">
        <v>-5429.51</v>
      </c>
      <c r="AF21" s="7"/>
      <c r="AG21" s="7"/>
      <c r="AH21" s="7"/>
      <c r="AI21" s="7">
        <f t="shared" si="4"/>
        <v>0</v>
      </c>
      <c r="AJ21" s="7"/>
      <c r="AK21" s="7">
        <v>-2375.41</v>
      </c>
      <c r="AL21" s="7"/>
      <c r="AM21" s="10">
        <f t="shared" si="5"/>
        <v>107808.25999999994</v>
      </c>
    </row>
    <row r="22" spans="1:39" ht="18.75" x14ac:dyDescent="0.3">
      <c r="A22" s="27" t="s">
        <v>242</v>
      </c>
      <c r="B22" s="102">
        <v>794.83</v>
      </c>
      <c r="C22" s="103">
        <v>60765.21</v>
      </c>
      <c r="D22" s="103">
        <v>42998.15</v>
      </c>
      <c r="E22" s="107">
        <v>57480.52</v>
      </c>
      <c r="F22" s="7">
        <v>88128.94</v>
      </c>
      <c r="G22" s="7">
        <v>78979.56</v>
      </c>
      <c r="H22" s="7">
        <v>84017.38</v>
      </c>
      <c r="I22" s="105">
        <v>91704.72</v>
      </c>
      <c r="J22" s="105">
        <v>86178.34</v>
      </c>
      <c r="K22" s="106">
        <v>91101.53</v>
      </c>
      <c r="L22" s="8">
        <v>93866.76</v>
      </c>
      <c r="M22" s="8">
        <v>73673.100000000006</v>
      </c>
      <c r="N22" s="7">
        <v>93667.46</v>
      </c>
      <c r="O22" s="8">
        <f t="shared" si="0"/>
        <v>334465.63</v>
      </c>
      <c r="P22" s="8">
        <f t="shared" si="0"/>
        <v>281829.15000000002</v>
      </c>
      <c r="Q22" s="8">
        <f t="shared" si="0"/>
        <v>326266.89</v>
      </c>
      <c r="R22" s="7">
        <v>149145.53999999998</v>
      </c>
      <c r="S22" s="7">
        <v>89273.34</v>
      </c>
      <c r="T22" s="7">
        <v>65352.7</v>
      </c>
      <c r="U22" s="8">
        <f t="shared" si="1"/>
        <v>483611.17</v>
      </c>
      <c r="V22" s="8">
        <f t="shared" si="1"/>
        <v>371102.49</v>
      </c>
      <c r="W22" s="8">
        <f t="shared" si="1"/>
        <v>391619.59</v>
      </c>
      <c r="X22" s="7">
        <v>136008.59</v>
      </c>
      <c r="Y22" s="7">
        <v>105516.88</v>
      </c>
      <c r="Z22" s="7">
        <v>97723.7</v>
      </c>
      <c r="AA22" s="8">
        <f t="shared" si="2"/>
        <v>619619.76</v>
      </c>
      <c r="AB22" s="8">
        <f t="shared" si="2"/>
        <v>476619.37</v>
      </c>
      <c r="AC22" s="8">
        <f t="shared" si="2"/>
        <v>489343.29000000004</v>
      </c>
      <c r="AD22" s="10">
        <f t="shared" si="3"/>
        <v>-12723.920000000042</v>
      </c>
      <c r="AE22" s="25">
        <v>-4123.1899999999996</v>
      </c>
      <c r="AF22" s="7">
        <v>-6939.38</v>
      </c>
      <c r="AG22" s="7">
        <f>-(2006.68+694.92+13145.24+1394.9)</f>
        <v>-17241.740000000002</v>
      </c>
      <c r="AH22" s="7">
        <v>-7880.97</v>
      </c>
      <c r="AI22" s="7">
        <f t="shared" si="4"/>
        <v>-32062.090000000004</v>
      </c>
      <c r="AJ22" s="7">
        <v>-4076.65</v>
      </c>
      <c r="AK22" s="7">
        <v>-2242.34</v>
      </c>
      <c r="AL22" s="7"/>
      <c r="AM22" s="10">
        <f t="shared" si="5"/>
        <v>-55228.190000000046</v>
      </c>
    </row>
    <row r="23" spans="1:39" ht="18.75" x14ac:dyDescent="0.3">
      <c r="A23" s="27" t="s">
        <v>243</v>
      </c>
      <c r="B23" s="102">
        <v>836.38</v>
      </c>
      <c r="C23" s="103">
        <v>63004.480000000003</v>
      </c>
      <c r="D23" s="103">
        <v>57348.99</v>
      </c>
      <c r="E23" s="107">
        <v>60454.52</v>
      </c>
      <c r="F23" s="7">
        <v>92048.5</v>
      </c>
      <c r="G23" s="7">
        <v>87295.34</v>
      </c>
      <c r="H23" s="7">
        <v>88813.02</v>
      </c>
      <c r="I23" s="105">
        <v>95936.58</v>
      </c>
      <c r="J23" s="105">
        <v>83795.28</v>
      </c>
      <c r="K23" s="106">
        <v>95994.84</v>
      </c>
      <c r="L23" s="8">
        <v>98588.82</v>
      </c>
      <c r="M23" s="8">
        <v>101458.93</v>
      </c>
      <c r="N23" s="7">
        <v>97769.07</v>
      </c>
      <c r="O23" s="8">
        <f t="shared" si="0"/>
        <v>349578.38</v>
      </c>
      <c r="P23" s="8">
        <f t="shared" si="0"/>
        <v>329898.53999999998</v>
      </c>
      <c r="Q23" s="8">
        <f t="shared" si="0"/>
        <v>343031.45</v>
      </c>
      <c r="R23" s="7">
        <v>174112.7476</v>
      </c>
      <c r="S23" s="7">
        <v>125229.96</v>
      </c>
      <c r="T23" s="7">
        <v>4650.1000000000004</v>
      </c>
      <c r="U23" s="8">
        <f t="shared" si="1"/>
        <v>523691.12760000001</v>
      </c>
      <c r="V23" s="8">
        <f t="shared" si="1"/>
        <v>455128.5</v>
      </c>
      <c r="W23" s="8">
        <f t="shared" si="1"/>
        <v>347681.55</v>
      </c>
      <c r="X23" s="7">
        <v>147648.88</v>
      </c>
      <c r="Y23" s="7">
        <v>120716.5</v>
      </c>
      <c r="Z23" s="7">
        <v>107934.36</v>
      </c>
      <c r="AA23" s="8">
        <f t="shared" si="2"/>
        <v>671340.00760000001</v>
      </c>
      <c r="AB23" s="8">
        <f t="shared" si="2"/>
        <v>575845</v>
      </c>
      <c r="AC23" s="8">
        <f t="shared" si="2"/>
        <v>455615.91</v>
      </c>
      <c r="AD23" s="10">
        <f t="shared" si="3"/>
        <v>120229.09000000003</v>
      </c>
      <c r="AE23" s="25">
        <v>-4988.63</v>
      </c>
      <c r="AF23" s="7">
        <v>-7263.78</v>
      </c>
      <c r="AG23" s="7">
        <f>-(1034.28+358.17+1394.9+14357.76)</f>
        <v>-17145.11</v>
      </c>
      <c r="AH23" s="7">
        <v>-3830.91</v>
      </c>
      <c r="AI23" s="7">
        <f t="shared" si="4"/>
        <v>-28239.8</v>
      </c>
      <c r="AJ23" s="7"/>
      <c r="AK23" s="7">
        <v>-2359.56</v>
      </c>
      <c r="AL23" s="7"/>
      <c r="AM23" s="10">
        <f t="shared" si="5"/>
        <v>84641.10000000002</v>
      </c>
    </row>
    <row r="24" spans="1:39" ht="18.75" x14ac:dyDescent="0.3">
      <c r="A24" s="27" t="s">
        <v>244</v>
      </c>
      <c r="B24" s="102">
        <v>747.9</v>
      </c>
      <c r="C24" s="108">
        <v>22831.52</v>
      </c>
      <c r="D24" s="108">
        <v>17104.759999999998</v>
      </c>
      <c r="E24" s="107">
        <v>54794.54</v>
      </c>
      <c r="F24" s="7">
        <v>97969.85</v>
      </c>
      <c r="G24" s="7">
        <v>73171.839999999997</v>
      </c>
      <c r="H24" s="7">
        <v>79313.490000000005</v>
      </c>
      <c r="I24" s="105">
        <v>100628.01</v>
      </c>
      <c r="J24" s="105">
        <v>92559.83</v>
      </c>
      <c r="K24" s="106">
        <v>98584.04</v>
      </c>
      <c r="L24" s="8">
        <v>105727.89</v>
      </c>
      <c r="M24" s="8">
        <v>148890.66</v>
      </c>
      <c r="N24" s="7">
        <v>101132.05</v>
      </c>
      <c r="O24" s="8">
        <f t="shared" si="0"/>
        <v>327157.27</v>
      </c>
      <c r="P24" s="8">
        <f t="shared" si="0"/>
        <v>331727.08999999997</v>
      </c>
      <c r="Q24" s="8">
        <f t="shared" si="0"/>
        <v>333824.12</v>
      </c>
      <c r="R24" s="7">
        <v>125559.23</v>
      </c>
      <c r="S24" s="7">
        <v>94779.489999999991</v>
      </c>
      <c r="T24" s="7">
        <v>64081</v>
      </c>
      <c r="U24" s="8">
        <f t="shared" si="1"/>
        <v>452716.5</v>
      </c>
      <c r="V24" s="8">
        <f t="shared" si="1"/>
        <v>426506.57999999996</v>
      </c>
      <c r="W24" s="8">
        <f t="shared" si="1"/>
        <v>397905.12</v>
      </c>
      <c r="X24" s="7">
        <v>145885.54999999999</v>
      </c>
      <c r="Y24" s="7">
        <v>156488.17000000001</v>
      </c>
      <c r="Z24" s="7">
        <v>99888.99</v>
      </c>
      <c r="AA24" s="8">
        <f t="shared" si="2"/>
        <v>598602.05000000005</v>
      </c>
      <c r="AB24" s="8">
        <f t="shared" si="2"/>
        <v>582994.75</v>
      </c>
      <c r="AC24" s="8">
        <f t="shared" si="2"/>
        <v>497794.11</v>
      </c>
      <c r="AD24" s="10">
        <f t="shared" si="3"/>
        <v>85200.640000000014</v>
      </c>
      <c r="AE24" s="25">
        <v>-4666.1899999999996</v>
      </c>
      <c r="AF24" s="7">
        <v>-626.04999999999995</v>
      </c>
      <c r="AG24" s="7"/>
      <c r="AH24" s="7"/>
      <c r="AI24" s="7">
        <f t="shared" si="4"/>
        <v>-626.04999999999995</v>
      </c>
      <c r="AJ24" s="7">
        <v>-360.01</v>
      </c>
      <c r="AK24" s="7">
        <v>-2109.94</v>
      </c>
      <c r="AL24" s="7"/>
      <c r="AM24" s="10">
        <f t="shared" si="5"/>
        <v>77438.450000000012</v>
      </c>
    </row>
    <row r="25" spans="1:39" ht="18.75" x14ac:dyDescent="0.3">
      <c r="A25" s="27" t="s">
        <v>245</v>
      </c>
      <c r="B25" s="102">
        <v>4043.22</v>
      </c>
      <c r="C25" s="103">
        <f>307490.53+116696.07</f>
        <v>424186.60000000003</v>
      </c>
      <c r="D25" s="103">
        <f>268066.21+101734.1</f>
        <v>369800.31000000006</v>
      </c>
      <c r="E25" s="107">
        <f>300980.85+107939.39</f>
        <v>408920.24</v>
      </c>
      <c r="F25" s="7">
        <v>585937.71</v>
      </c>
      <c r="G25" s="7">
        <v>584591.67000000004</v>
      </c>
      <c r="H25" s="7">
        <v>574265.66</v>
      </c>
      <c r="I25" s="105">
        <v>669588.43999999994</v>
      </c>
      <c r="J25" s="105">
        <v>664225.26</v>
      </c>
      <c r="K25" s="106">
        <v>710111.95</v>
      </c>
      <c r="L25" s="8">
        <v>682649.06</v>
      </c>
      <c r="M25" s="8">
        <v>654275.81999999995</v>
      </c>
      <c r="N25" s="7">
        <v>719966.25</v>
      </c>
      <c r="O25" s="8">
        <f t="shared" si="0"/>
        <v>2362361.81</v>
      </c>
      <c r="P25" s="8">
        <f t="shared" si="0"/>
        <v>2272893.06</v>
      </c>
      <c r="Q25" s="8">
        <f t="shared" si="0"/>
        <v>2413264.1</v>
      </c>
      <c r="R25" s="7">
        <v>456306.11</v>
      </c>
      <c r="S25" s="7">
        <v>317152.23000000004</v>
      </c>
      <c r="T25" s="7">
        <v>134302.76</v>
      </c>
      <c r="U25" s="8">
        <f t="shared" si="1"/>
        <v>2818667.92</v>
      </c>
      <c r="V25" s="8">
        <f t="shared" si="1"/>
        <v>2590045.29</v>
      </c>
      <c r="W25" s="8">
        <f t="shared" si="1"/>
        <v>2547566.8600000003</v>
      </c>
      <c r="X25" s="7">
        <v>831060.18</v>
      </c>
      <c r="Y25" s="7">
        <v>818147.67</v>
      </c>
      <c r="Z25" s="7">
        <v>1019460.5</v>
      </c>
      <c r="AA25" s="8">
        <f t="shared" si="2"/>
        <v>3649728.1</v>
      </c>
      <c r="AB25" s="8">
        <f t="shared" si="2"/>
        <v>3408192.96</v>
      </c>
      <c r="AC25" s="8">
        <f t="shared" si="2"/>
        <v>3567027.3600000003</v>
      </c>
      <c r="AD25" s="10">
        <f t="shared" si="3"/>
        <v>-158834.40000000037</v>
      </c>
      <c r="AE25" s="25">
        <v>-27205.15</v>
      </c>
      <c r="AF25" s="7">
        <v>-8371.25</v>
      </c>
      <c r="AG25" s="7">
        <f>-(1149.48+398.06+1550.93+7278.52)</f>
        <v>-10376.990000000002</v>
      </c>
      <c r="AH25" s="7">
        <v>-6288.98</v>
      </c>
      <c r="AI25" s="7">
        <f t="shared" si="4"/>
        <v>-25037.22</v>
      </c>
      <c r="AJ25" s="7">
        <v>-2778.11</v>
      </c>
      <c r="AK25" s="7">
        <v>-11406.55</v>
      </c>
      <c r="AL25" s="7"/>
      <c r="AM25" s="10">
        <f t="shared" si="5"/>
        <v>-225261.43000000034</v>
      </c>
    </row>
    <row r="26" spans="1:39" ht="18.75" x14ac:dyDescent="0.3">
      <c r="A26" s="27" t="s">
        <v>246</v>
      </c>
      <c r="B26" s="102">
        <v>606.29999999999995</v>
      </c>
      <c r="C26" s="108">
        <v>25450.92</v>
      </c>
      <c r="D26" s="108">
        <v>13685.62</v>
      </c>
      <c r="E26" s="107">
        <v>34753.25</v>
      </c>
      <c r="F26" s="7">
        <v>74904.56</v>
      </c>
      <c r="G26" s="7">
        <v>51161.95</v>
      </c>
      <c r="H26" s="7">
        <v>84850.65</v>
      </c>
      <c r="I26" s="105">
        <v>59071.07</v>
      </c>
      <c r="J26" s="105">
        <v>47074.92</v>
      </c>
      <c r="K26" s="106">
        <v>95869.58</v>
      </c>
      <c r="L26" s="100">
        <v>81351.740000000005</v>
      </c>
      <c r="M26" s="8">
        <v>87722.31</v>
      </c>
      <c r="N26" s="7">
        <v>71982.41</v>
      </c>
      <c r="O26" s="8">
        <f t="shared" si="0"/>
        <v>240778.28999999998</v>
      </c>
      <c r="P26" s="8">
        <f t="shared" si="0"/>
        <v>199644.79999999999</v>
      </c>
      <c r="Q26" s="8">
        <f t="shared" si="0"/>
        <v>287455.89</v>
      </c>
      <c r="R26" s="7">
        <v>121315.86000000002</v>
      </c>
      <c r="S26" s="7">
        <v>65461.4</v>
      </c>
      <c r="T26" s="7">
        <v>0</v>
      </c>
      <c r="U26" s="8">
        <f t="shared" si="1"/>
        <v>362094.15</v>
      </c>
      <c r="V26" s="8">
        <f t="shared" si="1"/>
        <v>265106.2</v>
      </c>
      <c r="W26" s="8">
        <f t="shared" si="1"/>
        <v>287455.89</v>
      </c>
      <c r="X26" s="7">
        <v>118059.41</v>
      </c>
      <c r="Y26" s="7">
        <v>129372.3</v>
      </c>
      <c r="Z26" s="7">
        <v>78183.320000000007</v>
      </c>
      <c r="AA26" s="8">
        <f t="shared" si="2"/>
        <v>480153.56000000006</v>
      </c>
      <c r="AB26" s="8">
        <f t="shared" si="2"/>
        <v>394478.5</v>
      </c>
      <c r="AC26" s="8">
        <f t="shared" si="2"/>
        <v>365639.21</v>
      </c>
      <c r="AD26" s="10">
        <f t="shared" si="3"/>
        <v>28839.289999999979</v>
      </c>
      <c r="AE26" s="25">
        <v>-3066.66</v>
      </c>
      <c r="AF26" s="7">
        <v>-13358.26</v>
      </c>
      <c r="AG26" s="7">
        <f>-(2988.72+1035.02+3381.16+17765.61)</f>
        <v>-25170.510000000002</v>
      </c>
      <c r="AH26" s="7">
        <v>-15840.3</v>
      </c>
      <c r="AI26" s="7">
        <f t="shared" si="4"/>
        <v>-54369.070000000007</v>
      </c>
      <c r="AJ26" s="7">
        <f>-(696.68+2155.12)</f>
        <v>-2851.7999999999997</v>
      </c>
      <c r="AK26" s="7">
        <v>-1710.47</v>
      </c>
      <c r="AL26" s="7"/>
      <c r="AM26" s="10">
        <f t="shared" si="5"/>
        <v>-33158.710000000028</v>
      </c>
    </row>
    <row r="27" spans="1:39" ht="18.75" x14ac:dyDescent="0.3">
      <c r="A27" s="27" t="s">
        <v>247</v>
      </c>
      <c r="B27" s="102">
        <v>3492.24</v>
      </c>
      <c r="C27" s="103">
        <f>260481.32+116858.61</f>
        <v>377339.93</v>
      </c>
      <c r="D27" s="103">
        <f>223031.49+99922.46</f>
        <v>322953.95</v>
      </c>
      <c r="E27" s="107">
        <f>268681+77178.39</f>
        <v>345859.39</v>
      </c>
      <c r="F27" s="7">
        <v>515610.97</v>
      </c>
      <c r="G27" s="7">
        <v>512969.15</v>
      </c>
      <c r="H27" s="7">
        <v>497368.08</v>
      </c>
      <c r="I27" s="105">
        <v>590925.79</v>
      </c>
      <c r="J27" s="105">
        <v>577910.61</v>
      </c>
      <c r="K27" s="106">
        <v>617589.01</v>
      </c>
      <c r="L27" s="8">
        <v>601345.43999999994</v>
      </c>
      <c r="M27" s="8">
        <v>626946.24</v>
      </c>
      <c r="N27" s="7">
        <v>625379.28</v>
      </c>
      <c r="O27" s="8">
        <f t="shared" si="0"/>
        <v>2085222.13</v>
      </c>
      <c r="P27" s="8">
        <f t="shared" si="0"/>
        <v>2040779.95</v>
      </c>
      <c r="Q27" s="8">
        <f t="shared" si="0"/>
        <v>2086195.76</v>
      </c>
      <c r="R27" s="7">
        <v>585171.67079999996</v>
      </c>
      <c r="S27" s="7">
        <v>424410.83999999997</v>
      </c>
      <c r="T27" s="7">
        <v>142329.32999999999</v>
      </c>
      <c r="U27" s="8">
        <f t="shared" si="1"/>
        <v>2670393.8007999999</v>
      </c>
      <c r="V27" s="8">
        <f t="shared" si="1"/>
        <v>2465190.79</v>
      </c>
      <c r="W27" s="8">
        <f t="shared" si="1"/>
        <v>2228525.09</v>
      </c>
      <c r="X27" s="7">
        <v>804594.3</v>
      </c>
      <c r="Y27" s="7">
        <v>745158.25</v>
      </c>
      <c r="Z27" s="7">
        <v>1151697.56</v>
      </c>
      <c r="AA27" s="8">
        <f t="shared" si="2"/>
        <v>3474988.1008000001</v>
      </c>
      <c r="AB27" s="8">
        <f t="shared" si="2"/>
        <v>3210349.04</v>
      </c>
      <c r="AC27" s="8">
        <f t="shared" si="2"/>
        <v>3380222.65</v>
      </c>
      <c r="AD27" s="10">
        <f t="shared" si="3"/>
        <v>-169873.60999999987</v>
      </c>
      <c r="AE27" s="25">
        <v>-26285.63</v>
      </c>
      <c r="AF27" s="7">
        <v>-4286.12</v>
      </c>
      <c r="AG27" s="7">
        <f>-(3344.99+1158.4+4142.75+5900.1)</f>
        <v>-14546.24</v>
      </c>
      <c r="AH27" s="7">
        <v>-4850.6000000000004</v>
      </c>
      <c r="AI27" s="7">
        <f t="shared" si="4"/>
        <v>-23682.959999999999</v>
      </c>
      <c r="AJ27" s="7">
        <v>-1014.67</v>
      </c>
      <c r="AK27" s="7">
        <v>-9852.15</v>
      </c>
      <c r="AL27" s="7"/>
      <c r="AM27" s="10">
        <f t="shared" si="5"/>
        <v>-230709.01999999987</v>
      </c>
    </row>
    <row r="28" spans="1:39" ht="18.75" x14ac:dyDescent="0.3">
      <c r="A28" s="19" t="s">
        <v>248</v>
      </c>
      <c r="B28" s="102">
        <v>3454.59</v>
      </c>
      <c r="C28" s="103">
        <f>258916.43+116721.96</f>
        <v>375638.39</v>
      </c>
      <c r="D28" s="103">
        <f>228492.4+102605.64</f>
        <v>331098.03999999998</v>
      </c>
      <c r="E28" s="107">
        <f>259304.46+77722.63</f>
        <v>337027.08999999997</v>
      </c>
      <c r="F28" s="7">
        <v>541703.12</v>
      </c>
      <c r="G28" s="7">
        <v>533750.1</v>
      </c>
      <c r="H28" s="7">
        <v>498522.45</v>
      </c>
      <c r="I28" s="105">
        <v>597252.26</v>
      </c>
      <c r="J28" s="105">
        <v>586016.38</v>
      </c>
      <c r="K28" s="106">
        <v>560625.74</v>
      </c>
      <c r="L28" s="8">
        <v>613922.48</v>
      </c>
      <c r="M28" s="8">
        <v>626083.93000000005</v>
      </c>
      <c r="N28" s="7">
        <v>589367.13</v>
      </c>
      <c r="O28" s="8">
        <f t="shared" si="0"/>
        <v>2128516.25</v>
      </c>
      <c r="P28" s="8">
        <f t="shared" si="0"/>
        <v>2076948.4500000002</v>
      </c>
      <c r="Q28" s="8">
        <f t="shared" si="0"/>
        <v>1985542.4100000001</v>
      </c>
      <c r="R28" s="7">
        <v>637518.43599999999</v>
      </c>
      <c r="S28" s="7">
        <v>458486.86</v>
      </c>
      <c r="T28" s="7">
        <v>274464.91000000003</v>
      </c>
      <c r="U28" s="8">
        <f t="shared" si="1"/>
        <v>2766034.6859999998</v>
      </c>
      <c r="V28" s="8">
        <f t="shared" si="1"/>
        <v>2535435.31</v>
      </c>
      <c r="W28" s="8">
        <f t="shared" si="1"/>
        <v>2260007.3200000003</v>
      </c>
      <c r="X28" s="7">
        <v>831984.86</v>
      </c>
      <c r="Y28" s="7">
        <v>796167.72</v>
      </c>
      <c r="Z28" s="7">
        <v>1044400.93</v>
      </c>
      <c r="AA28" s="8">
        <f t="shared" si="2"/>
        <v>3598019.5459999996</v>
      </c>
      <c r="AB28" s="8">
        <f t="shared" si="2"/>
        <v>3331603.0300000003</v>
      </c>
      <c r="AC28" s="8">
        <f t="shared" si="2"/>
        <v>3304408.2500000005</v>
      </c>
      <c r="AD28" s="10">
        <f t="shared" si="3"/>
        <v>27194.779999999795</v>
      </c>
      <c r="AE28" s="25">
        <v>-27120.79</v>
      </c>
      <c r="AF28" s="7">
        <v>-5708.58</v>
      </c>
      <c r="AG28" s="7">
        <f>-(649.55+224.94+644.37+7.65)</f>
        <v>-1526.5100000000002</v>
      </c>
      <c r="AH28" s="7">
        <v>-5291.37</v>
      </c>
      <c r="AI28" s="7">
        <f t="shared" si="4"/>
        <v>-12526.46</v>
      </c>
      <c r="AJ28" s="7">
        <v>-1454.65</v>
      </c>
      <c r="AK28" s="7">
        <v>-9745.94</v>
      </c>
      <c r="AL28" s="7"/>
      <c r="AM28" s="10">
        <f t="shared" si="5"/>
        <v>-23653.060000000205</v>
      </c>
    </row>
    <row r="29" spans="1:39" ht="18.75" x14ac:dyDescent="0.3">
      <c r="A29" s="19" t="s">
        <v>249</v>
      </c>
      <c r="B29" s="102">
        <v>6046.32</v>
      </c>
      <c r="C29" s="103">
        <f>453847.42+184333.17</f>
        <v>638180.59</v>
      </c>
      <c r="D29" s="103">
        <f>395587.67+160206.39</f>
        <v>555794.06000000006</v>
      </c>
      <c r="E29" s="107">
        <f>457473.48+253537.29</f>
        <v>711010.77</v>
      </c>
      <c r="F29" s="7">
        <v>942686.55</v>
      </c>
      <c r="G29" s="7">
        <v>953456.16</v>
      </c>
      <c r="H29" s="7">
        <v>893221.24</v>
      </c>
      <c r="I29" s="105">
        <v>967342.13</v>
      </c>
      <c r="J29" s="105">
        <v>942448</v>
      </c>
      <c r="K29" s="106">
        <v>941511.71</v>
      </c>
      <c r="L29" s="8">
        <v>1002283.96</v>
      </c>
      <c r="M29" s="8">
        <v>996624.34</v>
      </c>
      <c r="N29" s="7">
        <v>948633.29</v>
      </c>
      <c r="O29" s="8">
        <f t="shared" si="0"/>
        <v>3550493.23</v>
      </c>
      <c r="P29" s="8">
        <f t="shared" si="0"/>
        <v>3448322.56</v>
      </c>
      <c r="Q29" s="8">
        <f t="shared" si="0"/>
        <v>3494377.01</v>
      </c>
      <c r="R29" s="7">
        <v>680334.16519999993</v>
      </c>
      <c r="S29" s="7">
        <v>482334.17000000004</v>
      </c>
      <c r="T29" s="7">
        <v>605139.4</v>
      </c>
      <c r="U29" s="8">
        <f t="shared" si="1"/>
        <v>4230827.3952000001</v>
      </c>
      <c r="V29" s="8">
        <f t="shared" si="1"/>
        <v>3930656.73</v>
      </c>
      <c r="W29" s="8">
        <f t="shared" si="1"/>
        <v>4099516.4099999997</v>
      </c>
      <c r="X29" s="7">
        <v>1277818.7</v>
      </c>
      <c r="Y29" s="7">
        <v>1247679.17</v>
      </c>
      <c r="Z29" s="7">
        <v>1062590.23</v>
      </c>
      <c r="AA29" s="8">
        <f t="shared" si="2"/>
        <v>5508646.0952000003</v>
      </c>
      <c r="AB29" s="8">
        <f t="shared" si="2"/>
        <v>5178335.9000000004</v>
      </c>
      <c r="AC29" s="8">
        <f t="shared" si="2"/>
        <v>5162106.6399999997</v>
      </c>
      <c r="AD29" s="10">
        <f t="shared" si="3"/>
        <v>16229.260000000708</v>
      </c>
      <c r="AE29" s="25">
        <v>-41268.5</v>
      </c>
      <c r="AF29" s="7">
        <v>-307.06</v>
      </c>
      <c r="AG29" s="7">
        <f>-(321.78+111.44+958.88+166.07)</f>
        <v>-1558.1699999999998</v>
      </c>
      <c r="AH29" s="7">
        <v>-133.68</v>
      </c>
      <c r="AI29" s="7">
        <f t="shared" si="4"/>
        <v>-1998.9099999999999</v>
      </c>
      <c r="AJ29" s="7">
        <v>-1452.38</v>
      </c>
      <c r="AK29" s="7">
        <v>-17057.61</v>
      </c>
      <c r="AL29" s="7"/>
      <c r="AM29" s="10">
        <f t="shared" si="5"/>
        <v>-45548.139999999294</v>
      </c>
    </row>
    <row r="30" spans="1:39" ht="18.75" x14ac:dyDescent="0.3">
      <c r="A30" s="19" t="s">
        <v>250</v>
      </c>
      <c r="B30" s="102">
        <v>3481.7</v>
      </c>
      <c r="C30" s="103">
        <f>261582.64+116814.19</f>
        <v>378396.83</v>
      </c>
      <c r="D30" s="103">
        <f>204538.37+91884.26</f>
        <v>296422.63</v>
      </c>
      <c r="E30" s="107">
        <f>262063.74+77100.85</f>
        <v>339164.58999999997</v>
      </c>
      <c r="F30" s="7">
        <v>549130.56000000006</v>
      </c>
      <c r="G30" s="7">
        <v>486286.24</v>
      </c>
      <c r="H30" s="7">
        <v>519958.78</v>
      </c>
      <c r="I30" s="105">
        <v>634608.07200000004</v>
      </c>
      <c r="J30" s="105">
        <v>600064.5</v>
      </c>
      <c r="K30" s="106">
        <v>615349.54</v>
      </c>
      <c r="L30" s="8">
        <v>648202.42000000004</v>
      </c>
      <c r="M30" s="8">
        <v>609862.53</v>
      </c>
      <c r="N30" s="7">
        <v>640683.37</v>
      </c>
      <c r="O30" s="8">
        <f t="shared" si="0"/>
        <v>2210337.8820000002</v>
      </c>
      <c r="P30" s="8">
        <f t="shared" si="0"/>
        <v>1992635.9000000001</v>
      </c>
      <c r="Q30" s="8">
        <f t="shared" si="0"/>
        <v>2115156.2800000003</v>
      </c>
      <c r="R30" s="7">
        <v>600880.99</v>
      </c>
      <c r="S30" s="7">
        <v>385627.05000000005</v>
      </c>
      <c r="T30" s="7">
        <v>249878.39</v>
      </c>
      <c r="U30" s="8">
        <f t="shared" si="1"/>
        <v>2811218.8720000004</v>
      </c>
      <c r="V30" s="8">
        <f t="shared" si="1"/>
        <v>2378262.9500000002</v>
      </c>
      <c r="W30" s="8">
        <f t="shared" si="1"/>
        <v>2365034.6700000004</v>
      </c>
      <c r="X30" s="7">
        <v>840213.5</v>
      </c>
      <c r="Y30" s="7">
        <v>781075.08</v>
      </c>
      <c r="Z30" s="7">
        <v>723856.13</v>
      </c>
      <c r="AA30" s="8">
        <f t="shared" si="2"/>
        <v>3651432.3720000004</v>
      </c>
      <c r="AB30" s="8">
        <f t="shared" si="2"/>
        <v>3159338.0300000003</v>
      </c>
      <c r="AC30" s="8">
        <f t="shared" si="2"/>
        <v>3088890.8000000003</v>
      </c>
      <c r="AD30" s="10">
        <f t="shared" si="3"/>
        <v>70447.229999999981</v>
      </c>
      <c r="AE30" s="25">
        <v>-25479.91</v>
      </c>
      <c r="AF30" s="7">
        <v>-38310.58</v>
      </c>
      <c r="AG30" s="7">
        <f>-(11339.69+3927.08+12846.41+3818.95)</f>
        <v>-31932.13</v>
      </c>
      <c r="AH30" s="7">
        <v>-69830.45</v>
      </c>
      <c r="AI30" s="7">
        <f t="shared" si="4"/>
        <v>-140073.16</v>
      </c>
      <c r="AJ30" s="7">
        <v>-4317.6099999999997</v>
      </c>
      <c r="AK30" s="7">
        <v>-9822.42</v>
      </c>
      <c r="AL30" s="7"/>
      <c r="AM30" s="10">
        <f t="shared" si="5"/>
        <v>-109245.87000000002</v>
      </c>
    </row>
    <row r="31" spans="1:39" ht="18.75" x14ac:dyDescent="0.3">
      <c r="A31" s="19" t="s">
        <v>254</v>
      </c>
      <c r="B31" s="7"/>
      <c r="C31" s="103">
        <v>4998.8900000000003</v>
      </c>
      <c r="D31" s="103">
        <v>2013.87</v>
      </c>
      <c r="E31" s="107">
        <v>4911.1899999999996</v>
      </c>
      <c r="F31" s="102">
        <v>13390.38</v>
      </c>
      <c r="G31" s="7">
        <v>8428.52</v>
      </c>
      <c r="H31" s="7">
        <v>9320.89</v>
      </c>
      <c r="I31" s="105">
        <v>13744.68</v>
      </c>
      <c r="J31" s="105">
        <v>11110.52</v>
      </c>
      <c r="K31" s="106">
        <v>13890.58</v>
      </c>
      <c r="L31" s="8">
        <v>13967.73</v>
      </c>
      <c r="M31" s="8">
        <v>17898.45</v>
      </c>
      <c r="N31" s="7">
        <v>14572.32</v>
      </c>
      <c r="O31" s="8">
        <f t="shared" si="0"/>
        <v>46101.68</v>
      </c>
      <c r="P31" s="8">
        <f t="shared" si="0"/>
        <v>39451.360000000001</v>
      </c>
      <c r="Q31" s="8">
        <f t="shared" si="0"/>
        <v>42694.979999999996</v>
      </c>
      <c r="R31" s="7"/>
      <c r="S31" s="7"/>
      <c r="T31" s="7"/>
      <c r="U31" s="8">
        <f t="shared" si="1"/>
        <v>46101.68</v>
      </c>
      <c r="V31" s="8">
        <f t="shared" si="1"/>
        <v>39451.360000000001</v>
      </c>
      <c r="W31" s="8">
        <f t="shared" si="1"/>
        <v>42694.979999999996</v>
      </c>
      <c r="X31" s="7">
        <v>14516.15</v>
      </c>
      <c r="Y31" s="7">
        <v>6969.76</v>
      </c>
      <c r="Z31" s="7">
        <v>14384.92</v>
      </c>
      <c r="AA31" s="8">
        <f t="shared" si="2"/>
        <v>60617.83</v>
      </c>
      <c r="AB31" s="8">
        <f t="shared" si="2"/>
        <v>46421.120000000003</v>
      </c>
      <c r="AC31" s="8">
        <f t="shared" si="2"/>
        <v>57079.899999999994</v>
      </c>
      <c r="AD31" s="10">
        <f t="shared" si="3"/>
        <v>-10658.779999999992</v>
      </c>
      <c r="AE31" s="25">
        <v>-394.51</v>
      </c>
      <c r="AF31" s="7">
        <v>-6182.93</v>
      </c>
      <c r="AG31" s="7"/>
      <c r="AH31" s="7">
        <v>-1231.6099999999999</v>
      </c>
      <c r="AI31" s="7">
        <f t="shared" si="4"/>
        <v>-7414.54</v>
      </c>
      <c r="AJ31" s="7"/>
      <c r="AK31" s="7">
        <v>-370.14</v>
      </c>
      <c r="AL31" s="7"/>
      <c r="AM31" s="10">
        <f t="shared" si="5"/>
        <v>-18837.96999999999</v>
      </c>
    </row>
    <row r="32" spans="1:39" ht="18.75" x14ac:dyDescent="0.3">
      <c r="A32" s="19" t="s">
        <v>255</v>
      </c>
      <c r="B32" s="7"/>
      <c r="C32" s="103">
        <v>6440.17</v>
      </c>
      <c r="D32" s="103">
        <v>6364.72</v>
      </c>
      <c r="E32" s="107">
        <v>4604.24</v>
      </c>
      <c r="F32" s="102">
        <v>9188.1</v>
      </c>
      <c r="G32" s="7">
        <v>9531.61</v>
      </c>
      <c r="H32" s="7">
        <v>8738.33</v>
      </c>
      <c r="I32" s="105">
        <v>9431.76</v>
      </c>
      <c r="J32" s="105">
        <v>8940.31</v>
      </c>
      <c r="K32" s="106">
        <v>13022.43</v>
      </c>
      <c r="L32" s="8">
        <v>9585.51</v>
      </c>
      <c r="M32" s="8">
        <v>10405.82</v>
      </c>
      <c r="N32" s="7">
        <v>13595.87</v>
      </c>
      <c r="O32" s="8">
        <f t="shared" si="0"/>
        <v>34645.54</v>
      </c>
      <c r="P32" s="8">
        <f t="shared" si="0"/>
        <v>35242.46</v>
      </c>
      <c r="Q32" s="8">
        <f t="shared" si="0"/>
        <v>39960.870000000003</v>
      </c>
      <c r="R32" s="7"/>
      <c r="S32" s="7"/>
      <c r="T32" s="7"/>
      <c r="U32" s="8">
        <f t="shared" si="1"/>
        <v>34645.54</v>
      </c>
      <c r="V32" s="8">
        <f t="shared" si="1"/>
        <v>35242.46</v>
      </c>
      <c r="W32" s="8">
        <f t="shared" si="1"/>
        <v>39960.870000000003</v>
      </c>
      <c r="X32" s="7">
        <v>9847.48</v>
      </c>
      <c r="Y32" s="7">
        <v>9447.82</v>
      </c>
      <c r="Z32" s="7">
        <v>13445.07</v>
      </c>
      <c r="AA32" s="8">
        <f t="shared" si="2"/>
        <v>44493.020000000004</v>
      </c>
      <c r="AB32" s="8">
        <f t="shared" si="2"/>
        <v>44690.28</v>
      </c>
      <c r="AC32" s="8">
        <f t="shared" si="2"/>
        <v>53405.94</v>
      </c>
      <c r="AD32" s="10">
        <f t="shared" si="3"/>
        <v>-8715.6600000000035</v>
      </c>
      <c r="AE32" s="25">
        <v>-352.42</v>
      </c>
      <c r="AF32" s="7"/>
      <c r="AG32" s="7"/>
      <c r="AH32" s="7"/>
      <c r="AI32" s="7"/>
      <c r="AJ32" s="7"/>
      <c r="AK32" s="7">
        <v>-347</v>
      </c>
      <c r="AL32" s="7"/>
      <c r="AM32" s="10">
        <f t="shared" si="5"/>
        <v>-9415.0800000000036</v>
      </c>
    </row>
    <row r="33" spans="1:39" ht="18.75" x14ac:dyDescent="0.3">
      <c r="A33" s="19" t="s">
        <v>256</v>
      </c>
      <c r="B33" s="7"/>
      <c r="C33" s="103">
        <v>7408.94</v>
      </c>
      <c r="D33" s="103">
        <v>4722.13</v>
      </c>
      <c r="E33" s="107">
        <v>5296.75</v>
      </c>
      <c r="F33" s="102">
        <v>10570.14</v>
      </c>
      <c r="G33" s="7">
        <v>10263.02</v>
      </c>
      <c r="H33" s="7">
        <v>10052.629999999999</v>
      </c>
      <c r="I33" s="105">
        <v>10850.4</v>
      </c>
      <c r="J33" s="105">
        <v>17925.419999999998</v>
      </c>
      <c r="K33" s="106">
        <v>14981.1</v>
      </c>
      <c r="L33" s="8">
        <v>11027.2</v>
      </c>
      <c r="M33" s="8">
        <v>6691.91</v>
      </c>
      <c r="N33" s="7">
        <v>15640.72</v>
      </c>
      <c r="O33" s="8">
        <f t="shared" si="0"/>
        <v>39856.679999999993</v>
      </c>
      <c r="P33" s="8">
        <f t="shared" si="0"/>
        <v>39602.479999999996</v>
      </c>
      <c r="Q33" s="8">
        <f t="shared" si="0"/>
        <v>45971.199999999997</v>
      </c>
      <c r="R33" s="7"/>
      <c r="S33" s="7"/>
      <c r="T33" s="7"/>
      <c r="U33" s="8">
        <f t="shared" si="1"/>
        <v>39856.679999999993</v>
      </c>
      <c r="V33" s="8">
        <f t="shared" si="1"/>
        <v>39602.479999999996</v>
      </c>
      <c r="W33" s="8">
        <f t="shared" si="1"/>
        <v>45971.199999999997</v>
      </c>
      <c r="X33" s="7">
        <v>11328.52</v>
      </c>
      <c r="Y33" s="7">
        <v>14246.08</v>
      </c>
      <c r="Z33" s="7">
        <v>15461.13</v>
      </c>
      <c r="AA33" s="8">
        <f t="shared" si="2"/>
        <v>51185.2</v>
      </c>
      <c r="AB33" s="8">
        <f t="shared" si="2"/>
        <v>53848.56</v>
      </c>
      <c r="AC33" s="8">
        <f t="shared" si="2"/>
        <v>61432.329999999994</v>
      </c>
      <c r="AD33" s="10">
        <f t="shared" si="3"/>
        <v>-7583.7699999999968</v>
      </c>
      <c r="AE33" s="25">
        <v>-396.02</v>
      </c>
      <c r="AF33" s="7"/>
      <c r="AG33" s="7"/>
      <c r="AH33" s="7"/>
      <c r="AI33" s="7"/>
      <c r="AJ33" s="7"/>
      <c r="AK33" s="7">
        <v>-399.19</v>
      </c>
      <c r="AL33" s="7"/>
      <c r="AM33" s="10">
        <f t="shared" si="5"/>
        <v>-8378.9799999999977</v>
      </c>
    </row>
    <row r="34" spans="1:39" ht="18.75" x14ac:dyDescent="0.3">
      <c r="A34" s="114" t="s">
        <v>43</v>
      </c>
      <c r="B34" s="110"/>
      <c r="C34" s="111">
        <f t="shared" ref="C34:K34" si="6">SUM(C8:C33)</f>
        <v>3713380.97</v>
      </c>
      <c r="D34" s="111">
        <f t="shared" si="6"/>
        <v>3113115.91</v>
      </c>
      <c r="E34" s="111">
        <f t="shared" si="6"/>
        <v>3544045.3899999997</v>
      </c>
      <c r="F34" s="7">
        <f t="shared" si="6"/>
        <v>5403987.4099999983</v>
      </c>
      <c r="G34" s="7">
        <f t="shared" si="6"/>
        <v>5160593.9800000004</v>
      </c>
      <c r="H34" s="8">
        <f t="shared" si="6"/>
        <v>5059920.75</v>
      </c>
      <c r="I34" s="105">
        <f t="shared" si="6"/>
        <v>5832707.9119999986</v>
      </c>
      <c r="J34" s="105">
        <f t="shared" si="6"/>
        <v>5587817.6799999988</v>
      </c>
      <c r="K34" s="106">
        <f t="shared" si="6"/>
        <v>5828280.7699999996</v>
      </c>
      <c r="L34" s="8">
        <f>SUM(L8:L33)</f>
        <v>6027427.3000000007</v>
      </c>
      <c r="M34" s="8">
        <f t="shared" ref="M34:N34" si="7">SUM(M8:M33)</f>
        <v>6006819.4400000013</v>
      </c>
      <c r="N34" s="7">
        <f t="shared" si="7"/>
        <v>6040387.6699999999</v>
      </c>
      <c r="O34" s="8">
        <f t="shared" si="0"/>
        <v>20977503.592</v>
      </c>
      <c r="P34" s="8">
        <f t="shared" si="0"/>
        <v>19868347.010000002</v>
      </c>
      <c r="Q34" s="8">
        <f t="shared" si="0"/>
        <v>20472634.579999998</v>
      </c>
      <c r="R34" s="7">
        <f t="shared" ref="R34:AK34" si="8">SUM(R8:R33)</f>
        <v>6076294.0095999995</v>
      </c>
      <c r="S34" s="7">
        <f t="shared" si="8"/>
        <v>4186702.0176109783</v>
      </c>
      <c r="T34" s="7">
        <f t="shared" si="8"/>
        <v>2575659.88</v>
      </c>
      <c r="U34" s="8">
        <f t="shared" si="8"/>
        <v>27053797.601599999</v>
      </c>
      <c r="V34" s="8">
        <f t="shared" si="8"/>
        <v>24055049.027610976</v>
      </c>
      <c r="W34" s="8">
        <f t="shared" si="8"/>
        <v>23048294.460000005</v>
      </c>
      <c r="X34" s="7">
        <f t="shared" si="8"/>
        <v>7987815.3399999999</v>
      </c>
      <c r="Y34" s="7">
        <f t="shared" si="8"/>
        <v>7669106.6099999985</v>
      </c>
      <c r="Z34" s="7">
        <f t="shared" si="8"/>
        <v>7654597.4500000011</v>
      </c>
      <c r="AA34" s="8">
        <f t="shared" si="8"/>
        <v>35041612.941600002</v>
      </c>
      <c r="AB34" s="8">
        <f t="shared" si="8"/>
        <v>31724155.637610979</v>
      </c>
      <c r="AC34" s="8">
        <f t="shared" si="8"/>
        <v>30702891.91</v>
      </c>
      <c r="AD34" s="10">
        <f t="shared" si="8"/>
        <v>1021263.7276109782</v>
      </c>
      <c r="AE34" s="25">
        <f>SUM(AE8:AE33)</f>
        <v>-257715.70000000004</v>
      </c>
      <c r="AF34" s="7">
        <f t="shared" si="8"/>
        <v>-177152.26</v>
      </c>
      <c r="AG34" s="7">
        <f t="shared" si="8"/>
        <v>-255790.67</v>
      </c>
      <c r="AH34" s="7">
        <f t="shared" si="8"/>
        <v>-223708.46999999997</v>
      </c>
      <c r="AI34" s="7">
        <f t="shared" si="4"/>
        <v>-656651.4</v>
      </c>
      <c r="AJ34" s="7">
        <f t="shared" si="8"/>
        <v>-36709.39</v>
      </c>
      <c r="AK34" s="7">
        <f t="shared" si="8"/>
        <v>-106227.44</v>
      </c>
      <c r="AL34" s="7">
        <f>SUM(AL18:AL33)</f>
        <v>-41442</v>
      </c>
      <c r="AM34" s="10">
        <f t="shared" si="5"/>
        <v>-77482.202389021913</v>
      </c>
    </row>
    <row r="35" spans="1:39" x14ac:dyDescent="0.25">
      <c r="A35" s="109"/>
      <c r="I35" s="112"/>
      <c r="J35" s="112"/>
      <c r="K35" s="113"/>
    </row>
  </sheetData>
  <mergeCells count="37">
    <mergeCell ref="Q6:Q7"/>
    <mergeCell ref="R6:S6"/>
    <mergeCell ref="T6:T7"/>
    <mergeCell ref="U6:V6"/>
    <mergeCell ref="W6:W7"/>
    <mergeCell ref="I6:J6"/>
    <mergeCell ref="K6:K7"/>
    <mergeCell ref="L6:M6"/>
    <mergeCell ref="N6:N7"/>
    <mergeCell ref="O6:P6"/>
    <mergeCell ref="X5:Z5"/>
    <mergeCell ref="AA5:AC6"/>
    <mergeCell ref="AD5:AD7"/>
    <mergeCell ref="AE5:AL5"/>
    <mergeCell ref="AM5:AM7"/>
    <mergeCell ref="Z6:Z7"/>
    <mergeCell ref="X6:Y6"/>
    <mergeCell ref="AK6:AK7"/>
    <mergeCell ref="AL6:AL7"/>
    <mergeCell ref="AE6:AE7"/>
    <mergeCell ref="AF6:AF7"/>
    <mergeCell ref="AG6:AG7"/>
    <mergeCell ref="AH6:AH7"/>
    <mergeCell ref="AI6:AI7"/>
    <mergeCell ref="AJ6:AJ7"/>
    <mergeCell ref="A6:A7"/>
    <mergeCell ref="C6:D6"/>
    <mergeCell ref="E6:E7"/>
    <mergeCell ref="F6:G6"/>
    <mergeCell ref="H6:H7"/>
    <mergeCell ref="R5:T5"/>
    <mergeCell ref="U5:W5"/>
    <mergeCell ref="C5:E5"/>
    <mergeCell ref="F5:H5"/>
    <mergeCell ref="I5:K5"/>
    <mergeCell ref="L5:N5"/>
    <mergeCell ref="O5:Q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33"/>
  <sheetViews>
    <sheetView topLeftCell="O4" workbookViewId="0">
      <selection activeCell="T8" sqref="T8:T19"/>
    </sheetView>
  </sheetViews>
  <sheetFormatPr defaultRowHeight="15.75" x14ac:dyDescent="0.25"/>
  <cols>
    <col min="1" max="1" width="13.375" style="6" customWidth="1"/>
    <col min="2" max="2" width="13.25" style="6" customWidth="1"/>
    <col min="3" max="3" width="12.375" style="6" customWidth="1"/>
    <col min="4" max="4" width="13.125" style="6" customWidth="1"/>
    <col min="5" max="5" width="12.75" style="6" customWidth="1"/>
    <col min="6" max="6" width="12.875" style="6" customWidth="1"/>
    <col min="7" max="7" width="14.5" style="6" customWidth="1"/>
    <col min="8" max="8" width="13.875" style="6" customWidth="1"/>
    <col min="9" max="9" width="13.25" style="6" customWidth="1"/>
    <col min="10" max="10" width="13.625" style="6" customWidth="1"/>
    <col min="11" max="11" width="13" style="6" customWidth="1"/>
    <col min="12" max="12" width="13.875" style="6" customWidth="1"/>
    <col min="13" max="13" width="13.625" style="6" customWidth="1"/>
    <col min="14" max="14" width="16.375" style="6" customWidth="1"/>
    <col min="15" max="15" width="14.5" style="6" customWidth="1"/>
    <col min="16" max="16" width="14.25" style="6" customWidth="1"/>
    <col min="17" max="17" width="16.125" style="6" customWidth="1"/>
    <col min="18" max="18" width="13.75" style="6" customWidth="1"/>
    <col min="19" max="19" width="15.25" customWidth="1"/>
    <col min="20" max="20" width="14.625" customWidth="1"/>
    <col min="21" max="21" width="15.125" customWidth="1"/>
    <col min="22" max="22" width="13.25" customWidth="1"/>
    <col min="23" max="23" width="14.5" customWidth="1"/>
    <col min="24" max="24" width="14.75" customWidth="1"/>
    <col min="25" max="26" width="12.75" customWidth="1"/>
    <col min="27" max="27" width="15.375" customWidth="1"/>
    <col min="28" max="28" width="10.375" customWidth="1"/>
  </cols>
  <sheetData>
    <row r="5" spans="1:34" x14ac:dyDescent="0.25">
      <c r="W5" s="5"/>
    </row>
    <row r="7" spans="1:34" ht="18.75" x14ac:dyDescent="0.25"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190"/>
      <c r="T7" s="190"/>
      <c r="U7" s="181" t="s">
        <v>68</v>
      </c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</row>
    <row r="8" spans="1:34" ht="43.5" customHeight="1" x14ac:dyDescent="0.25">
      <c r="A8" s="196" t="s">
        <v>57</v>
      </c>
      <c r="B8" s="157" t="s">
        <v>328</v>
      </c>
      <c r="C8" s="158"/>
      <c r="D8" s="158"/>
      <c r="E8" s="158"/>
      <c r="F8" s="158"/>
      <c r="G8" s="36"/>
      <c r="H8" s="36"/>
      <c r="I8" s="36"/>
      <c r="J8" s="36"/>
      <c r="K8" s="36"/>
      <c r="L8" s="36"/>
      <c r="M8" s="36"/>
      <c r="N8" s="36"/>
      <c r="O8" s="36"/>
      <c r="P8" s="36"/>
      <c r="Q8" s="182" t="s">
        <v>335</v>
      </c>
      <c r="R8" s="182"/>
      <c r="S8" s="182"/>
      <c r="T8" s="183" t="s">
        <v>274</v>
      </c>
      <c r="U8" s="183" t="s">
        <v>336</v>
      </c>
      <c r="V8" s="184" t="s">
        <v>50</v>
      </c>
      <c r="W8" s="184"/>
      <c r="X8" s="184"/>
      <c r="Y8" s="183" t="s">
        <v>338</v>
      </c>
      <c r="Z8" s="191" t="s">
        <v>339</v>
      </c>
      <c r="AA8" s="190"/>
      <c r="AB8" s="190"/>
      <c r="AC8" s="190"/>
      <c r="AD8" s="190"/>
      <c r="AE8" s="190"/>
      <c r="AF8" s="190"/>
      <c r="AG8" s="190"/>
      <c r="AH8" s="190"/>
    </row>
    <row r="9" spans="1:34" ht="18.75" x14ac:dyDescent="0.25">
      <c r="A9" s="197"/>
      <c r="B9" s="148" t="s">
        <v>268</v>
      </c>
      <c r="C9" s="132"/>
      <c r="D9" s="132"/>
      <c r="E9" s="132" t="s">
        <v>269</v>
      </c>
      <c r="F9" s="132"/>
      <c r="G9" s="132"/>
      <c r="H9" s="132" t="s">
        <v>270</v>
      </c>
      <c r="I9" s="132"/>
      <c r="J9" s="132"/>
      <c r="K9" s="132" t="s">
        <v>271</v>
      </c>
      <c r="L9" s="132"/>
      <c r="M9" s="132"/>
      <c r="N9" s="132" t="s">
        <v>69</v>
      </c>
      <c r="O9" s="132"/>
      <c r="P9" s="146"/>
      <c r="Q9" s="182"/>
      <c r="R9" s="182"/>
      <c r="S9" s="182"/>
      <c r="T9" s="185"/>
      <c r="U9" s="185"/>
      <c r="V9" s="186" t="s">
        <v>337</v>
      </c>
      <c r="W9" s="186" t="s">
        <v>301</v>
      </c>
      <c r="X9" s="187" t="s">
        <v>319</v>
      </c>
      <c r="Y9" s="185"/>
      <c r="Z9" s="192"/>
      <c r="AA9" s="193" t="s">
        <v>70</v>
      </c>
      <c r="AB9" s="194"/>
      <c r="AC9" s="190"/>
      <c r="AD9" s="190"/>
      <c r="AE9" s="190"/>
      <c r="AF9" s="190"/>
      <c r="AG9" s="190"/>
      <c r="AH9" s="190"/>
    </row>
    <row r="10" spans="1:34" ht="59.25" customHeight="1" x14ac:dyDescent="0.25">
      <c r="A10" s="198"/>
      <c r="B10" s="89" t="s">
        <v>8</v>
      </c>
      <c r="C10" s="89" t="s">
        <v>9</v>
      </c>
      <c r="D10" s="89" t="s">
        <v>10</v>
      </c>
      <c r="E10" s="89" t="s">
        <v>8</v>
      </c>
      <c r="F10" s="89" t="s">
        <v>9</v>
      </c>
      <c r="G10" s="89" t="s">
        <v>10</v>
      </c>
      <c r="H10" s="89" t="s">
        <v>8</v>
      </c>
      <c r="I10" s="89" t="s">
        <v>9</v>
      </c>
      <c r="J10" s="89" t="s">
        <v>10</v>
      </c>
      <c r="K10" s="89" t="s">
        <v>8</v>
      </c>
      <c r="L10" s="89" t="s">
        <v>9</v>
      </c>
      <c r="M10" s="89" t="s">
        <v>10</v>
      </c>
      <c r="N10" s="89" t="s">
        <v>8</v>
      </c>
      <c r="O10" s="89" t="s">
        <v>9</v>
      </c>
      <c r="P10" s="89" t="s">
        <v>10</v>
      </c>
      <c r="Q10" s="89" t="s">
        <v>8</v>
      </c>
      <c r="R10" s="89" t="s">
        <v>9</v>
      </c>
      <c r="S10" s="188" t="s">
        <v>10</v>
      </c>
      <c r="T10" s="189"/>
      <c r="U10" s="189"/>
      <c r="V10" s="186"/>
      <c r="W10" s="186"/>
      <c r="X10" s="187"/>
      <c r="Y10" s="189"/>
      <c r="Z10" s="195"/>
      <c r="AA10" s="190" t="s">
        <v>7</v>
      </c>
      <c r="AB10" s="190" t="s">
        <v>71</v>
      </c>
      <c r="AC10" s="190"/>
      <c r="AD10" s="190"/>
      <c r="AE10" s="190"/>
      <c r="AF10" s="190"/>
      <c r="AG10" s="190"/>
      <c r="AH10" s="190"/>
    </row>
    <row r="11" spans="1:34" ht="18.75" x14ac:dyDescent="0.3">
      <c r="A11" s="178" t="s">
        <v>59</v>
      </c>
      <c r="B11" s="8"/>
      <c r="C11" s="8"/>
      <c r="D11" s="8"/>
      <c r="E11" s="8"/>
      <c r="F11" s="8"/>
      <c r="G11" s="8"/>
      <c r="H11" s="8">
        <v>409078.98</v>
      </c>
      <c r="I11" s="8">
        <v>329202.31</v>
      </c>
      <c r="J11" s="8">
        <v>504284.49</v>
      </c>
      <c r="K11" s="8">
        <v>453128.33</v>
      </c>
      <c r="L11" s="8">
        <v>438671.62</v>
      </c>
      <c r="M11" s="8">
        <v>559354.67000000004</v>
      </c>
      <c r="N11" s="8">
        <f>433991.99+16218.45-1259.3</f>
        <v>448951.14</v>
      </c>
      <c r="O11" s="8">
        <f>436712.61+15763.03+4727.25</f>
        <v>457202.89</v>
      </c>
      <c r="P11" s="8">
        <f>7012.8+331045.83+3000+146295.18+1806.45+6123.4</f>
        <v>495283.66000000003</v>
      </c>
      <c r="Q11" s="8">
        <f>H11+K11+N11+E11+B11</f>
        <v>1311158.4500000002</v>
      </c>
      <c r="R11" s="8">
        <f>C11+F11+I11+L11+O11</f>
        <v>1225076.8199999998</v>
      </c>
      <c r="S11" s="1">
        <f>D11+G11+J11+M11+P11</f>
        <v>1558922.8200000003</v>
      </c>
      <c r="T11" s="2">
        <f>R11-S11</f>
        <v>-333846.00000000047</v>
      </c>
      <c r="U11" s="2">
        <v>9519</v>
      </c>
      <c r="V11" s="1">
        <v>-3806.31</v>
      </c>
      <c r="W11" s="1">
        <v>-14915.81</v>
      </c>
      <c r="X11" s="1">
        <v>-1115.67</v>
      </c>
      <c r="Y11" s="2">
        <f>T11+U11+V11+W11+X11</f>
        <v>-344164.79000000044</v>
      </c>
      <c r="Z11" s="2">
        <f>Q11-S11+U11+V11+W11+X11</f>
        <v>-258083.16000000012</v>
      </c>
      <c r="AA11">
        <f>20332.56/5067358.35*N11</f>
        <v>1801.3973673518474</v>
      </c>
      <c r="AB11">
        <v>6123.4</v>
      </c>
    </row>
    <row r="12" spans="1:34" ht="18.75" x14ac:dyDescent="0.3">
      <c r="A12" s="178" t="s">
        <v>60</v>
      </c>
      <c r="B12" s="8"/>
      <c r="C12" s="8"/>
      <c r="D12" s="8"/>
      <c r="E12" s="8"/>
      <c r="F12" s="8"/>
      <c r="G12" s="8"/>
      <c r="H12" s="8">
        <v>92720.62</v>
      </c>
      <c r="I12" s="8">
        <v>78448.460000000006</v>
      </c>
      <c r="J12" s="8">
        <v>120663.62</v>
      </c>
      <c r="K12" s="8">
        <v>102045.17</v>
      </c>
      <c r="L12" s="8">
        <v>90560.21</v>
      </c>
      <c r="M12" s="8">
        <v>144495.47</v>
      </c>
      <c r="N12" s="8">
        <f>98503.55+4618.74</f>
        <v>103122.29000000001</v>
      </c>
      <c r="O12" s="8">
        <f>92450.43+4308.42+3254.27</f>
        <v>100013.12</v>
      </c>
      <c r="P12" s="8">
        <f>1168.8+71232.09-2897+32916.22+413.77+1345.21</f>
        <v>104179.09000000001</v>
      </c>
      <c r="Q12" s="8">
        <f t="shared" ref="Q12:Q19" si="0">H12+K12+N12+E12+B12</f>
        <v>297888.07999999996</v>
      </c>
      <c r="R12" s="8">
        <f t="shared" ref="R12:S19" si="1">C12+F12+I12+L12+O12</f>
        <v>269021.79000000004</v>
      </c>
      <c r="S12" s="1">
        <f t="shared" si="1"/>
        <v>369338.18</v>
      </c>
      <c r="T12" s="2">
        <f t="shared" ref="T12:T13" si="2">R12-S12</f>
        <v>-100316.38999999996</v>
      </c>
      <c r="U12" s="2">
        <v>2162</v>
      </c>
      <c r="V12" s="1">
        <v>-859.06</v>
      </c>
      <c r="W12" s="1">
        <v>-7603.64</v>
      </c>
      <c r="X12" s="1"/>
      <c r="Y12" s="2">
        <f t="shared" ref="Y12:Y19" si="3">T12+U12+V12+W12+X12</f>
        <v>-106617.08999999995</v>
      </c>
      <c r="Z12" s="2">
        <f t="shared" ref="Z12:Z18" si="4">Q12-S12+U12+V12+W12+X12</f>
        <v>-77750.800000000032</v>
      </c>
      <c r="AA12">
        <f t="shared" ref="AA12:AA20" si="5">20332.56/5067358.35*N12</f>
        <v>413.77380558894168</v>
      </c>
      <c r="AB12">
        <v>1345.21</v>
      </c>
    </row>
    <row r="13" spans="1:34" ht="18.75" x14ac:dyDescent="0.3">
      <c r="A13" s="178" t="s">
        <v>61</v>
      </c>
      <c r="B13" s="8"/>
      <c r="C13" s="8"/>
      <c r="D13" s="8"/>
      <c r="E13" s="8"/>
      <c r="F13" s="8"/>
      <c r="G13" s="8"/>
      <c r="H13" s="8">
        <v>408805.29</v>
      </c>
      <c r="I13" s="8">
        <v>311190.14</v>
      </c>
      <c r="J13" s="8">
        <v>479282.5</v>
      </c>
      <c r="K13" s="8">
        <v>452788.32</v>
      </c>
      <c r="L13" s="8">
        <v>450158.15</v>
      </c>
      <c r="M13" s="8">
        <v>546908.24</v>
      </c>
      <c r="N13" s="8">
        <f>440932.28+16442.04</f>
        <v>457374.32</v>
      </c>
      <c r="O13" s="8">
        <f>420710.93+15468.08+7004.4</f>
        <v>443183.41000000003</v>
      </c>
      <c r="P13" s="8">
        <f>7012.8+323360.29+146209.24+1835.19+5950.94</f>
        <v>484368.45999999996</v>
      </c>
      <c r="Q13" s="8">
        <f t="shared" si="0"/>
        <v>1318967.93</v>
      </c>
      <c r="R13" s="8">
        <f t="shared" si="1"/>
        <v>1204531.7000000002</v>
      </c>
      <c r="S13" s="1">
        <f t="shared" si="1"/>
        <v>1510559.2</v>
      </c>
      <c r="T13" s="2">
        <f t="shared" si="2"/>
        <v>-306027.49999999977</v>
      </c>
      <c r="U13" s="2">
        <v>9519</v>
      </c>
      <c r="V13" s="1">
        <v>-3802.78</v>
      </c>
      <c r="W13" s="1">
        <v>-7129.77</v>
      </c>
      <c r="X13" s="1">
        <v>-2965.67</v>
      </c>
      <c r="Y13" s="2">
        <f t="shared" si="3"/>
        <v>-310406.7199999998</v>
      </c>
      <c r="Z13" s="2">
        <f t="shared" si="4"/>
        <v>-195970.49000000002</v>
      </c>
      <c r="AA13">
        <f t="shared" si="5"/>
        <v>1835.1950190890291</v>
      </c>
      <c r="AB13">
        <v>5950.94</v>
      </c>
    </row>
    <row r="14" spans="1:34" ht="18.75" x14ac:dyDescent="0.3">
      <c r="A14" s="178" t="s">
        <v>62</v>
      </c>
      <c r="B14" s="8">
        <v>127000.88</v>
      </c>
      <c r="C14" s="8">
        <v>39493.72</v>
      </c>
      <c r="D14" s="8">
        <v>142768.68</v>
      </c>
      <c r="E14" s="8">
        <v>989612.06</v>
      </c>
      <c r="F14" s="8">
        <v>900012.85</v>
      </c>
      <c r="G14" s="8">
        <v>1187281.46</v>
      </c>
      <c r="H14" s="8">
        <v>1010330</v>
      </c>
      <c r="I14" s="8">
        <v>1001102</v>
      </c>
      <c r="J14" s="8">
        <v>1115955</v>
      </c>
      <c r="K14" s="8">
        <v>1040146.66</v>
      </c>
      <c r="L14" s="8">
        <v>966504.51</v>
      </c>
      <c r="M14" s="8">
        <v>1152101.8400000001</v>
      </c>
      <c r="N14" s="8">
        <f>1031367.46-21.45+9163.74+21.45</f>
        <v>1040531.2</v>
      </c>
      <c r="O14" s="8">
        <f>1048158.18+9414.68+32.57+3.73+78.39+19156.37</f>
        <v>1076843.9200000002</v>
      </c>
      <c r="P14" s="8">
        <f>12272.4+723093.04+3000+221769.74+4175.08+12237.28</f>
        <v>976547.54</v>
      </c>
      <c r="Q14" s="8">
        <f t="shared" si="0"/>
        <v>4207620.8000000007</v>
      </c>
      <c r="R14" s="8">
        <f t="shared" si="1"/>
        <v>3983957</v>
      </c>
      <c r="S14" s="1">
        <f t="shared" si="1"/>
        <v>4574654.5199999996</v>
      </c>
      <c r="T14" s="2">
        <f>R14-S14</f>
        <v>-590697.51999999955</v>
      </c>
      <c r="U14" s="2">
        <v>21200</v>
      </c>
      <c r="V14" s="1">
        <v>-8713.7800000000007</v>
      </c>
      <c r="W14" s="1">
        <v>-32596.27</v>
      </c>
      <c r="X14" s="1">
        <v>-3780.56</v>
      </c>
      <c r="Y14" s="2">
        <f t="shared" si="3"/>
        <v>-614588.12999999966</v>
      </c>
      <c r="Z14" s="2">
        <f t="shared" si="4"/>
        <v>-390924.32999999885</v>
      </c>
      <c r="AA14">
        <f t="shared" si="5"/>
        <v>4175.087214006091</v>
      </c>
      <c r="AB14">
        <v>12237.28</v>
      </c>
    </row>
    <row r="15" spans="1:34" ht="18.75" x14ac:dyDescent="0.3">
      <c r="A15" s="178" t="s">
        <v>63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>
        <f>644795.36+23566.98</f>
        <v>668362.34</v>
      </c>
      <c r="O15" s="8">
        <f>575356.82+20881.16</f>
        <v>596237.98</v>
      </c>
      <c r="P15" s="8">
        <f>7012.8+446754.82+3000+130183.65+2681.77+7228.3</f>
        <v>596861.34000000008</v>
      </c>
      <c r="Q15" s="8">
        <f t="shared" si="0"/>
        <v>668362.34</v>
      </c>
      <c r="R15" s="8">
        <f t="shared" si="1"/>
        <v>596237.98</v>
      </c>
      <c r="S15" s="1">
        <f t="shared" si="1"/>
        <v>596861.34000000008</v>
      </c>
      <c r="T15" s="2">
        <f t="shared" ref="T15:T19" si="6">R15-S15</f>
        <v>-623.36000000010245</v>
      </c>
      <c r="U15" s="2">
        <v>5200</v>
      </c>
      <c r="V15" s="1"/>
      <c r="W15" s="1"/>
      <c r="X15" s="1"/>
      <c r="Y15" s="2">
        <f t="shared" si="3"/>
        <v>4576.6399999998976</v>
      </c>
      <c r="Z15" s="2">
        <f t="shared" si="4"/>
        <v>76700.999999999884</v>
      </c>
      <c r="AA15">
        <f t="shared" si="5"/>
        <v>2681.775481655131</v>
      </c>
      <c r="AB15">
        <v>7228.3</v>
      </c>
    </row>
    <row r="16" spans="1:34" ht="18.75" x14ac:dyDescent="0.3">
      <c r="A16" s="178" t="s">
        <v>64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>
        <f>949489.57+31780.68</f>
        <v>981270.25</v>
      </c>
      <c r="O16" s="8">
        <f>802372.64+26690.24</f>
        <v>829062.88</v>
      </c>
      <c r="P16" s="8">
        <f>10519.2+607474.63+154012.23+3937.3+10641.35</f>
        <v>786584.71</v>
      </c>
      <c r="Q16" s="8">
        <f t="shared" si="0"/>
        <v>981270.25</v>
      </c>
      <c r="R16" s="8">
        <f t="shared" si="1"/>
        <v>829062.88</v>
      </c>
      <c r="S16" s="1">
        <f t="shared" si="1"/>
        <v>786584.71</v>
      </c>
      <c r="T16" s="2">
        <f t="shared" si="6"/>
        <v>42478.170000000042</v>
      </c>
      <c r="U16" s="2">
        <v>5200</v>
      </c>
      <c r="V16" s="1"/>
      <c r="W16" s="1"/>
      <c r="X16" s="1"/>
      <c r="Y16" s="2">
        <f t="shared" si="3"/>
        <v>47678.170000000042</v>
      </c>
      <c r="Z16" s="2">
        <f t="shared" si="4"/>
        <v>199885.54000000004</v>
      </c>
      <c r="AA16">
        <f t="shared" si="5"/>
        <v>3937.3051709161246</v>
      </c>
      <c r="AB16">
        <v>10641.35</v>
      </c>
    </row>
    <row r="17" spans="1:28" ht="18.75" x14ac:dyDescent="0.3">
      <c r="A17" s="178" t="s">
        <v>65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>
        <f>786964+2157.75+9303.73+25693.08+4004.83</f>
        <v>828123.3899999999</v>
      </c>
      <c r="O17" s="8">
        <f>627190.79+2439.56+7984.84+3637.39+20688.95</f>
        <v>661941.53</v>
      </c>
      <c r="P17" s="8">
        <f>14025.6+522003.45+165862.56+3322.81+7390.43</f>
        <v>712604.85000000021</v>
      </c>
      <c r="Q17" s="8">
        <f t="shared" si="0"/>
        <v>828123.3899999999</v>
      </c>
      <c r="R17" s="8">
        <f t="shared" si="1"/>
        <v>661941.53</v>
      </c>
      <c r="S17" s="1">
        <f t="shared" si="1"/>
        <v>712604.85000000021</v>
      </c>
      <c r="T17" s="2">
        <f t="shared" si="6"/>
        <v>-50663.320000000182</v>
      </c>
      <c r="U17" s="2">
        <v>5200</v>
      </c>
      <c r="V17" s="1"/>
      <c r="W17" s="1"/>
      <c r="X17" s="1"/>
      <c r="Y17" s="2">
        <f t="shared" si="3"/>
        <v>-45463.320000000182</v>
      </c>
      <c r="Z17" s="2">
        <f t="shared" si="4"/>
        <v>120718.53999999969</v>
      </c>
      <c r="AA17">
        <f t="shared" si="5"/>
        <v>3322.8099044107271</v>
      </c>
      <c r="AB17">
        <v>7390.43</v>
      </c>
    </row>
    <row r="18" spans="1:28" ht="18.75" x14ac:dyDescent="0.3">
      <c r="A18" s="178" t="s">
        <v>66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>
        <f>472843.44+16333.08</f>
        <v>489176.52</v>
      </c>
      <c r="O18" s="8">
        <f>408569.23+14676.03</f>
        <v>423245.26</v>
      </c>
      <c r="P18" s="8">
        <f>4675.2+290669.43+104420.62+1962.8+4994.83+3000</f>
        <v>409722.88</v>
      </c>
      <c r="Q18" s="8">
        <f t="shared" si="0"/>
        <v>489176.52</v>
      </c>
      <c r="R18" s="8">
        <f t="shared" si="1"/>
        <v>423245.26</v>
      </c>
      <c r="S18" s="1">
        <f t="shared" si="1"/>
        <v>409722.88</v>
      </c>
      <c r="T18" s="2">
        <f t="shared" si="6"/>
        <v>13522.380000000005</v>
      </c>
      <c r="U18" s="2">
        <v>5200</v>
      </c>
      <c r="V18" s="1"/>
      <c r="W18" s="1"/>
      <c r="X18" s="1"/>
      <c r="Y18" s="2">
        <f t="shared" si="3"/>
        <v>18722.380000000005</v>
      </c>
      <c r="Z18" s="2">
        <f t="shared" si="4"/>
        <v>84653.640000000014</v>
      </c>
      <c r="AA18">
        <f t="shared" si="5"/>
        <v>1962.799994891066</v>
      </c>
      <c r="AB18">
        <v>4994.83</v>
      </c>
    </row>
    <row r="19" spans="1:28" ht="18.75" x14ac:dyDescent="0.3">
      <c r="A19" s="178" t="s">
        <v>72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>
        <v>49187.6</v>
      </c>
      <c r="O19" s="8">
        <v>13323.01</v>
      </c>
      <c r="P19" s="8">
        <f>30961.14+14965.18+197.36+133.23</f>
        <v>46256.91</v>
      </c>
      <c r="Q19" s="8">
        <f t="shared" si="0"/>
        <v>49187.6</v>
      </c>
      <c r="R19" s="8">
        <f t="shared" si="1"/>
        <v>13323.01</v>
      </c>
      <c r="S19" s="1">
        <f t="shared" si="1"/>
        <v>46256.91</v>
      </c>
      <c r="T19" s="2">
        <f t="shared" si="6"/>
        <v>-32933.9</v>
      </c>
      <c r="U19" s="2"/>
      <c r="V19" s="1"/>
      <c r="W19" s="1"/>
      <c r="X19" s="1"/>
      <c r="Y19" s="2">
        <f t="shared" si="3"/>
        <v>-32933.9</v>
      </c>
      <c r="Z19" s="2"/>
      <c r="AA19">
        <f t="shared" si="5"/>
        <v>197.36315436542989</v>
      </c>
      <c r="AB19">
        <v>133.22999999999999</v>
      </c>
    </row>
    <row r="20" spans="1:28" ht="18.75" x14ac:dyDescent="0.3">
      <c r="A20" s="16" t="s">
        <v>43</v>
      </c>
      <c r="B20" s="8">
        <f t="shared" ref="B20:G20" si="7">SUM(B11:B18)</f>
        <v>127000.88</v>
      </c>
      <c r="C20" s="8">
        <f t="shared" si="7"/>
        <v>39493.72</v>
      </c>
      <c r="D20" s="8">
        <f t="shared" si="7"/>
        <v>142768.68</v>
      </c>
      <c r="E20" s="8">
        <f t="shared" si="7"/>
        <v>989612.06</v>
      </c>
      <c r="F20" s="8">
        <f t="shared" si="7"/>
        <v>900012.85</v>
      </c>
      <c r="G20" s="8">
        <f t="shared" si="7"/>
        <v>1187281.46</v>
      </c>
      <c r="H20" s="8">
        <f>SUM(H11:H18)</f>
        <v>1920934.89</v>
      </c>
      <c r="I20" s="8">
        <f t="shared" ref="I20" si="8">SUM(I11:I18)</f>
        <v>1719942.9100000001</v>
      </c>
      <c r="J20" s="8">
        <f>SUM(J11:J18)</f>
        <v>2220185.61</v>
      </c>
      <c r="K20" s="8">
        <f>SUM(K11:K18)</f>
        <v>2048108.48</v>
      </c>
      <c r="L20" s="8">
        <f t="shared" ref="L20:M20" si="9">SUM(L11:L18)</f>
        <v>1945894.49</v>
      </c>
      <c r="M20" s="8">
        <f t="shared" si="9"/>
        <v>2402860.2199999997</v>
      </c>
      <c r="N20" s="8">
        <f>SUM(N11:N19)</f>
        <v>5066099.0499999989</v>
      </c>
      <c r="O20" s="8">
        <f t="shared" ref="O20:Y20" si="10">SUM(O11:O19)</f>
        <v>4601054</v>
      </c>
      <c r="P20" s="8">
        <f t="shared" si="10"/>
        <v>4612409.4400000004</v>
      </c>
      <c r="Q20" s="8">
        <f t="shared" si="10"/>
        <v>10151755.360000001</v>
      </c>
      <c r="R20" s="8">
        <f t="shared" si="10"/>
        <v>9206397.9700000007</v>
      </c>
      <c r="S20" s="1">
        <f t="shared" si="10"/>
        <v>10565505.41</v>
      </c>
      <c r="T20" s="1">
        <f t="shared" si="10"/>
        <v>-1359107.44</v>
      </c>
      <c r="U20" s="1">
        <f t="shared" si="10"/>
        <v>63200</v>
      </c>
      <c r="V20" s="1">
        <f t="shared" si="10"/>
        <v>-17181.93</v>
      </c>
      <c r="W20" s="1">
        <f t="shared" si="10"/>
        <v>-62245.490000000005</v>
      </c>
      <c r="X20" s="1">
        <f t="shared" si="10"/>
        <v>-7861.9</v>
      </c>
      <c r="Y20" s="1">
        <f t="shared" si="10"/>
        <v>-1383196.7600000002</v>
      </c>
      <c r="Z20" s="2">
        <f t="shared" ref="Z20" si="11">SUM(Z11:Z18)</f>
        <v>-440770.05999999947</v>
      </c>
      <c r="AA20">
        <f t="shared" si="5"/>
        <v>20327.507112274383</v>
      </c>
      <c r="AB20">
        <f>SUM(AB11:AB19)</f>
        <v>56044.970000000008</v>
      </c>
    </row>
    <row r="22" spans="1:28" ht="19.5" x14ac:dyDescent="0.25">
      <c r="B22" s="71" t="s">
        <v>329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</row>
    <row r="23" spans="1:28" ht="31.5" customHeight="1" x14ac:dyDescent="0.25">
      <c r="A23" s="7"/>
      <c r="B23" s="132" t="s">
        <v>268</v>
      </c>
      <c r="C23" s="132"/>
      <c r="D23" s="132"/>
      <c r="E23" s="132" t="s">
        <v>269</v>
      </c>
      <c r="F23" s="132"/>
      <c r="G23" s="132"/>
      <c r="H23" s="132" t="s">
        <v>270</v>
      </c>
      <c r="I23" s="132"/>
      <c r="J23" s="132"/>
      <c r="K23" s="132" t="s">
        <v>271</v>
      </c>
      <c r="L23" s="132"/>
      <c r="M23" s="132"/>
      <c r="N23" s="132" t="s">
        <v>69</v>
      </c>
      <c r="O23" s="132"/>
      <c r="P23" s="132"/>
      <c r="Q23" s="182" t="s">
        <v>340</v>
      </c>
      <c r="R23" s="182"/>
      <c r="S23" s="182"/>
      <c r="T23" s="183" t="s">
        <v>274</v>
      </c>
      <c r="U23" s="203"/>
      <c r="V23" s="190"/>
      <c r="W23" s="201"/>
      <c r="X23" s="201"/>
      <c r="Y23" s="190"/>
      <c r="Z23" s="190"/>
      <c r="AA23" s="190"/>
      <c r="AB23" s="190"/>
    </row>
    <row r="24" spans="1:28" ht="33.75" customHeight="1" x14ac:dyDescent="0.3">
      <c r="A24" s="16"/>
      <c r="B24" s="89" t="s">
        <v>8</v>
      </c>
      <c r="C24" s="89" t="s">
        <v>9</v>
      </c>
      <c r="D24" s="89" t="s">
        <v>10</v>
      </c>
      <c r="E24" s="89" t="s">
        <v>8</v>
      </c>
      <c r="F24" s="89" t="s">
        <v>9</v>
      </c>
      <c r="G24" s="89" t="s">
        <v>10</v>
      </c>
      <c r="H24" s="89" t="s">
        <v>8</v>
      </c>
      <c r="I24" s="89" t="s">
        <v>9</v>
      </c>
      <c r="J24" s="89" t="s">
        <v>10</v>
      </c>
      <c r="K24" s="89" t="s">
        <v>8</v>
      </c>
      <c r="L24" s="89" t="s">
        <v>9</v>
      </c>
      <c r="M24" s="89" t="s">
        <v>10</v>
      </c>
      <c r="N24" s="89" t="s">
        <v>8</v>
      </c>
      <c r="O24" s="89" t="s">
        <v>9</v>
      </c>
      <c r="P24" s="89" t="s">
        <v>10</v>
      </c>
      <c r="Q24" s="89" t="s">
        <v>8</v>
      </c>
      <c r="R24" s="89" t="s">
        <v>9</v>
      </c>
      <c r="S24" s="202" t="s">
        <v>10</v>
      </c>
      <c r="T24" s="189"/>
      <c r="U24" s="203"/>
      <c r="V24" s="190"/>
      <c r="W24" s="201"/>
      <c r="X24" s="201"/>
      <c r="Y24" s="190"/>
      <c r="Z24" s="190"/>
      <c r="AA24" s="190"/>
      <c r="AB24" s="190"/>
    </row>
    <row r="25" spans="1:28" ht="18.75" x14ac:dyDescent="0.3">
      <c r="A25" s="178" t="s">
        <v>59</v>
      </c>
      <c r="B25" s="8"/>
      <c r="C25" s="8"/>
      <c r="D25" s="8"/>
      <c r="E25" s="8"/>
      <c r="F25" s="8"/>
      <c r="G25" s="8"/>
      <c r="H25" s="8">
        <v>148553</v>
      </c>
      <c r="I25" s="8">
        <v>119546.58</v>
      </c>
      <c r="J25" s="8">
        <v>18733.27</v>
      </c>
      <c r="K25" s="8">
        <v>162048</v>
      </c>
      <c r="L25" s="8">
        <v>154726.81</v>
      </c>
      <c r="M25" s="8">
        <f>104389.81+185000</f>
        <v>289389.81</v>
      </c>
      <c r="N25" s="100">
        <v>160205.5</v>
      </c>
      <c r="O25" s="100">
        <v>155138.04</v>
      </c>
      <c r="P25" s="8">
        <v>24834.44</v>
      </c>
      <c r="Q25" s="8">
        <f>B25+E25+H25+K25+N25</f>
        <v>470806.5</v>
      </c>
      <c r="R25" s="8">
        <f>C25+F25+I25+L25+O25</f>
        <v>429411.43000000005</v>
      </c>
      <c r="S25" s="1">
        <f>D25+G25+J25+M25+P25</f>
        <v>332957.52</v>
      </c>
      <c r="T25" s="2">
        <f>R25-S25</f>
        <v>96453.910000000033</v>
      </c>
      <c r="U25" s="3"/>
      <c r="W25" s="4"/>
      <c r="X25" s="4"/>
    </row>
    <row r="26" spans="1:28" ht="18.75" x14ac:dyDescent="0.3">
      <c r="A26" s="178" t="s">
        <v>60</v>
      </c>
      <c r="B26" s="8"/>
      <c r="C26" s="8"/>
      <c r="D26" s="8"/>
      <c r="E26" s="8"/>
      <c r="F26" s="8"/>
      <c r="G26" s="8"/>
      <c r="H26" s="8">
        <v>33528</v>
      </c>
      <c r="I26" s="8">
        <v>28367.15</v>
      </c>
      <c r="J26" s="8">
        <v>7163.27</v>
      </c>
      <c r="K26" s="8">
        <v>36576</v>
      </c>
      <c r="L26" s="8">
        <v>30932.83</v>
      </c>
      <c r="M26" s="8">
        <v>13694.92</v>
      </c>
      <c r="N26" s="100">
        <v>36576</v>
      </c>
      <c r="O26" s="100">
        <v>34507.910000000003</v>
      </c>
      <c r="P26" s="8">
        <v>16147</v>
      </c>
      <c r="Q26" s="8">
        <f t="shared" ref="Q26:S33" si="12">B26+E26+H26+K26+N26</f>
        <v>106680</v>
      </c>
      <c r="R26" s="8">
        <f t="shared" si="12"/>
        <v>93807.890000000014</v>
      </c>
      <c r="S26" s="1">
        <f t="shared" si="12"/>
        <v>37005.19</v>
      </c>
      <c r="T26" s="2">
        <f t="shared" ref="T26:T32" si="13">R26-S26</f>
        <v>56802.700000000012</v>
      </c>
      <c r="U26" s="3"/>
      <c r="W26" s="4"/>
      <c r="X26" s="4"/>
    </row>
    <row r="27" spans="1:28" ht="18.75" x14ac:dyDescent="0.3">
      <c r="A27" s="178" t="s">
        <v>61</v>
      </c>
      <c r="B27" s="8"/>
      <c r="C27" s="8"/>
      <c r="D27" s="8"/>
      <c r="E27" s="8"/>
      <c r="F27" s="8"/>
      <c r="G27" s="8"/>
      <c r="H27" s="8">
        <v>148419.5</v>
      </c>
      <c r="I27" s="8">
        <v>112979.67</v>
      </c>
      <c r="J27" s="8">
        <v>250505.46</v>
      </c>
      <c r="K27" s="8">
        <v>161922</v>
      </c>
      <c r="L27" s="8">
        <v>149839.07999999999</v>
      </c>
      <c r="M27" s="8">
        <v>25906.71</v>
      </c>
      <c r="N27" s="100">
        <v>161922</v>
      </c>
      <c r="O27" s="100">
        <v>151910.62</v>
      </c>
      <c r="P27" s="8">
        <v>17820.349999999999</v>
      </c>
      <c r="Q27" s="8">
        <f t="shared" si="12"/>
        <v>472263.5</v>
      </c>
      <c r="R27" s="8">
        <f t="shared" si="12"/>
        <v>414729.37</v>
      </c>
      <c r="S27" s="1">
        <f>D27+G27+J27+M27+P27</f>
        <v>294232.51999999996</v>
      </c>
      <c r="T27" s="2">
        <f t="shared" si="13"/>
        <v>120496.85000000003</v>
      </c>
      <c r="U27" s="3"/>
      <c r="W27" s="4"/>
      <c r="X27" s="4"/>
    </row>
    <row r="28" spans="1:28" ht="18.75" x14ac:dyDescent="0.3">
      <c r="A28" s="178" t="s">
        <v>62</v>
      </c>
      <c r="B28" s="8">
        <v>55120.9</v>
      </c>
      <c r="C28" s="8">
        <v>17141.060000000001</v>
      </c>
      <c r="D28" s="8"/>
      <c r="E28" s="8">
        <v>422202.6</v>
      </c>
      <c r="F28" s="8">
        <v>384204.37</v>
      </c>
      <c r="G28" s="8">
        <v>312998</v>
      </c>
      <c r="H28" s="8">
        <v>285302</v>
      </c>
      <c r="I28" s="8">
        <v>282696</v>
      </c>
      <c r="J28" s="8">
        <v>292140.55</v>
      </c>
      <c r="K28" s="8">
        <v>148400.13</v>
      </c>
      <c r="L28" s="8">
        <v>137869.66</v>
      </c>
      <c r="M28" s="8">
        <v>25984.21</v>
      </c>
      <c r="N28" s="100">
        <v>148398.21</v>
      </c>
      <c r="O28" s="100">
        <v>146884.71</v>
      </c>
      <c r="P28" s="8">
        <v>90033.51</v>
      </c>
      <c r="Q28" s="8">
        <f t="shared" si="12"/>
        <v>1059423.8400000001</v>
      </c>
      <c r="R28" s="8">
        <f t="shared" si="12"/>
        <v>968795.79999999993</v>
      </c>
      <c r="S28" s="1">
        <f t="shared" si="12"/>
        <v>721156.27</v>
      </c>
      <c r="T28" s="2">
        <f t="shared" si="13"/>
        <v>247639.52999999991</v>
      </c>
      <c r="U28" s="3"/>
      <c r="W28" s="4"/>
      <c r="X28" s="4"/>
    </row>
    <row r="29" spans="1:28" ht="18.75" x14ac:dyDescent="0.3">
      <c r="A29" s="178" t="s">
        <v>63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0">
        <v>142588.07999999999</v>
      </c>
      <c r="O29" s="100">
        <v>126592.61</v>
      </c>
      <c r="P29" s="8">
        <v>185914.46</v>
      </c>
      <c r="Q29" s="8">
        <f t="shared" si="12"/>
        <v>142588.07999999999</v>
      </c>
      <c r="R29" s="8">
        <f t="shared" si="12"/>
        <v>126592.61</v>
      </c>
      <c r="S29" s="1">
        <f t="shared" si="12"/>
        <v>185914.46</v>
      </c>
      <c r="T29" s="2">
        <f t="shared" si="13"/>
        <v>-59321.849999999991</v>
      </c>
      <c r="U29" s="3"/>
      <c r="W29" s="4"/>
      <c r="X29" s="4"/>
    </row>
    <row r="30" spans="1:28" ht="18.75" x14ac:dyDescent="0.3">
      <c r="A30" s="178" t="s">
        <v>64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0">
        <v>294248.09000000003</v>
      </c>
      <c r="O30" s="100">
        <v>235073.05</v>
      </c>
      <c r="P30" s="8">
        <v>510049.63</v>
      </c>
      <c r="Q30" s="8">
        <f t="shared" si="12"/>
        <v>294248.09000000003</v>
      </c>
      <c r="R30" s="8">
        <f t="shared" si="12"/>
        <v>235073.05</v>
      </c>
      <c r="S30" s="1">
        <f t="shared" si="12"/>
        <v>510049.63</v>
      </c>
      <c r="T30" s="2">
        <f t="shared" si="13"/>
        <v>-274976.58</v>
      </c>
      <c r="U30" s="3"/>
      <c r="W30" s="4"/>
      <c r="X30" s="4"/>
    </row>
    <row r="31" spans="1:28" ht="18.75" x14ac:dyDescent="0.3">
      <c r="A31" s="178" t="s">
        <v>65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0">
        <v>96560</v>
      </c>
      <c r="O31" s="100">
        <v>77102.13</v>
      </c>
      <c r="P31" s="8">
        <v>373381.53</v>
      </c>
      <c r="Q31" s="8">
        <f t="shared" si="12"/>
        <v>96560</v>
      </c>
      <c r="R31" s="8">
        <f t="shared" si="12"/>
        <v>77102.13</v>
      </c>
      <c r="S31" s="1">
        <f t="shared" si="12"/>
        <v>373381.53</v>
      </c>
      <c r="T31" s="2">
        <f t="shared" si="13"/>
        <v>-296279.40000000002</v>
      </c>
      <c r="U31" s="3"/>
      <c r="W31" s="4"/>
      <c r="X31" s="4"/>
    </row>
    <row r="32" spans="1:28" ht="18.75" x14ac:dyDescent="0.3">
      <c r="A32" s="178" t="s">
        <v>66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0">
        <v>58017.599999999999</v>
      </c>
      <c r="O32" s="100">
        <v>76237.8</v>
      </c>
      <c r="P32" s="8">
        <v>477722.45</v>
      </c>
      <c r="Q32" s="8">
        <f t="shared" si="12"/>
        <v>58017.599999999999</v>
      </c>
      <c r="R32" s="8">
        <f t="shared" si="12"/>
        <v>76237.8</v>
      </c>
      <c r="S32" s="1">
        <f t="shared" si="12"/>
        <v>477722.45</v>
      </c>
      <c r="T32" s="2">
        <f t="shared" si="13"/>
        <v>-401484.65</v>
      </c>
      <c r="U32" s="3"/>
      <c r="W32" s="4"/>
      <c r="X32" s="4"/>
    </row>
    <row r="33" spans="1:24" ht="18.75" x14ac:dyDescent="0.3">
      <c r="A33" s="200" t="s">
        <v>43</v>
      </c>
      <c r="B33" s="8">
        <f>SUM(B25:B32)</f>
        <v>55120.9</v>
      </c>
      <c r="C33" s="8">
        <f>SUM(C25:C32)</f>
        <v>17141.060000000001</v>
      </c>
      <c r="D33" s="8"/>
      <c r="E33" s="8">
        <f t="shared" ref="E33:S33" si="14">SUM(E25:E32)</f>
        <v>422202.6</v>
      </c>
      <c r="F33" s="8">
        <f t="shared" si="14"/>
        <v>384204.37</v>
      </c>
      <c r="G33" s="8">
        <f t="shared" si="14"/>
        <v>312998</v>
      </c>
      <c r="H33" s="8">
        <f t="shared" si="14"/>
        <v>615802.5</v>
      </c>
      <c r="I33" s="8">
        <f t="shared" si="14"/>
        <v>543589.4</v>
      </c>
      <c r="J33" s="8">
        <f t="shared" si="14"/>
        <v>568542.55000000005</v>
      </c>
      <c r="K33" s="8">
        <f t="shared" si="14"/>
        <v>508946.13</v>
      </c>
      <c r="L33" s="8">
        <f t="shared" si="14"/>
        <v>473368.38</v>
      </c>
      <c r="M33" s="8">
        <f t="shared" si="14"/>
        <v>354975.65</v>
      </c>
      <c r="N33" s="8">
        <f t="shared" si="14"/>
        <v>1098515.48</v>
      </c>
      <c r="O33" s="8">
        <f t="shared" si="14"/>
        <v>1003446.87</v>
      </c>
      <c r="P33" s="8">
        <f t="shared" si="14"/>
        <v>1695903.3699999999</v>
      </c>
      <c r="Q33" s="8">
        <f t="shared" si="14"/>
        <v>2700587.61</v>
      </c>
      <c r="R33" s="8">
        <f t="shared" si="12"/>
        <v>2421750.08</v>
      </c>
      <c r="S33" s="1">
        <f t="shared" si="14"/>
        <v>2932419.5700000003</v>
      </c>
      <c r="T33" s="2">
        <f>SUM(T25:T32)</f>
        <v>-510669.49000000005</v>
      </c>
      <c r="U33" s="3"/>
      <c r="W33" s="4"/>
      <c r="X33" s="4"/>
    </row>
  </sheetData>
  <mergeCells count="24">
    <mergeCell ref="AA9:AB9"/>
    <mergeCell ref="B23:D23"/>
    <mergeCell ref="E23:G23"/>
    <mergeCell ref="H23:J23"/>
    <mergeCell ref="K23:M23"/>
    <mergeCell ref="N23:P23"/>
    <mergeCell ref="Q23:S23"/>
    <mergeCell ref="T23:T24"/>
    <mergeCell ref="Y8:Y10"/>
    <mergeCell ref="Z8:Z10"/>
    <mergeCell ref="B9:D9"/>
    <mergeCell ref="E9:G9"/>
    <mergeCell ref="H9:J9"/>
    <mergeCell ref="K9:M9"/>
    <mergeCell ref="N9:P9"/>
    <mergeCell ref="V9:V10"/>
    <mergeCell ref="W9:W10"/>
    <mergeCell ref="X9:X10"/>
    <mergeCell ref="A8:A10"/>
    <mergeCell ref="Q8:S9"/>
    <mergeCell ref="T8:T10"/>
    <mergeCell ref="U8:U10"/>
    <mergeCell ref="V8:X8"/>
    <mergeCell ref="B8:F8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26"/>
  <sheetViews>
    <sheetView tabSelected="1" topLeftCell="R5" workbookViewId="0">
      <selection activeCell="X19" sqref="X19"/>
    </sheetView>
  </sheetViews>
  <sheetFormatPr defaultRowHeight="15.75" x14ac:dyDescent="0.25"/>
  <cols>
    <col min="1" max="1" width="13.5" style="6" customWidth="1"/>
    <col min="2" max="2" width="14.75" style="6" customWidth="1"/>
    <col min="3" max="4" width="13.5" style="6" customWidth="1"/>
    <col min="5" max="5" width="14.375" style="6" customWidth="1"/>
    <col min="6" max="6" width="15" style="6" customWidth="1"/>
    <col min="7" max="7" width="14.375" style="6" customWidth="1"/>
    <col min="8" max="8" width="14.625" style="6" customWidth="1"/>
    <col min="9" max="10" width="14.5" style="6" customWidth="1"/>
    <col min="11" max="11" width="14.25" style="6" customWidth="1"/>
    <col min="12" max="12" width="14.375" style="6" customWidth="1"/>
    <col min="13" max="14" width="14.875" style="6" customWidth="1"/>
    <col min="15" max="15" width="14.625" style="6" customWidth="1"/>
    <col min="16" max="16" width="14.75" style="6" customWidth="1"/>
    <col min="17" max="17" width="15.875" style="6" customWidth="1"/>
    <col min="18" max="18" width="15.375" style="6" customWidth="1"/>
    <col min="19" max="19" width="17.5" style="6" customWidth="1"/>
    <col min="20" max="20" width="15.375" style="6" customWidth="1"/>
    <col min="21" max="22" width="15.125" style="6" customWidth="1"/>
    <col min="23" max="23" width="13.875" style="6" customWidth="1"/>
    <col min="24" max="24" width="14.25" style="6" customWidth="1"/>
    <col min="25" max="25" width="15.125" style="6" customWidth="1"/>
    <col min="26" max="26" width="10.75" style="6" customWidth="1"/>
    <col min="27" max="27" width="16.875" style="6" customWidth="1"/>
    <col min="28" max="16384" width="9" style="6"/>
  </cols>
  <sheetData>
    <row r="2" spans="1:39" x14ac:dyDescent="0.25">
      <c r="W2" s="26"/>
    </row>
    <row r="4" spans="1:39" ht="19.5" x14ac:dyDescent="0.25">
      <c r="B4" s="21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205" t="s">
        <v>79</v>
      </c>
      <c r="T4" s="205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</row>
    <row r="5" spans="1:39" ht="40.5" customHeight="1" x14ac:dyDescent="0.25">
      <c r="A5" s="179" t="s">
        <v>73</v>
      </c>
      <c r="B5" s="146" t="s">
        <v>328</v>
      </c>
      <c r="C5" s="215"/>
      <c r="D5" s="174"/>
      <c r="E5" s="89"/>
      <c r="F5" s="89"/>
      <c r="G5" s="89"/>
      <c r="H5" s="89"/>
      <c r="I5" s="89"/>
      <c r="J5" s="89"/>
      <c r="K5" s="89"/>
      <c r="L5" s="89"/>
      <c r="M5" s="89"/>
      <c r="N5" s="132" t="s">
        <v>297</v>
      </c>
      <c r="O5" s="132"/>
      <c r="P5" s="132"/>
      <c r="Q5" s="163" t="s">
        <v>341</v>
      </c>
      <c r="R5" s="163"/>
      <c r="S5" s="163"/>
      <c r="T5" s="206" t="s">
        <v>345</v>
      </c>
      <c r="U5" s="149" t="s">
        <v>50</v>
      </c>
      <c r="V5" s="149"/>
      <c r="W5" s="149"/>
      <c r="X5" s="207" t="s">
        <v>346</v>
      </c>
      <c r="Y5" s="208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</row>
    <row r="6" spans="1:39" ht="15" customHeight="1" x14ac:dyDescent="0.25">
      <c r="A6" s="179"/>
      <c r="B6" s="132" t="s">
        <v>268</v>
      </c>
      <c r="C6" s="132"/>
      <c r="D6" s="132"/>
      <c r="E6" s="132" t="s">
        <v>269</v>
      </c>
      <c r="F6" s="132"/>
      <c r="G6" s="132"/>
      <c r="H6" s="132" t="s">
        <v>270</v>
      </c>
      <c r="I6" s="132"/>
      <c r="J6" s="132"/>
      <c r="K6" s="132" t="s">
        <v>271</v>
      </c>
      <c r="L6" s="132"/>
      <c r="M6" s="132"/>
      <c r="N6" s="132"/>
      <c r="O6" s="132"/>
      <c r="P6" s="132"/>
      <c r="Q6" s="163"/>
      <c r="R6" s="163"/>
      <c r="S6" s="163"/>
      <c r="T6" s="209"/>
      <c r="U6" s="136" t="s">
        <v>337</v>
      </c>
      <c r="V6" s="136" t="s">
        <v>301</v>
      </c>
      <c r="W6" s="132" t="s">
        <v>319</v>
      </c>
      <c r="X6" s="210"/>
      <c r="Y6" s="211"/>
      <c r="Z6" s="213" t="s">
        <v>70</v>
      </c>
      <c r="AA6" s="199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</row>
    <row r="7" spans="1:39" ht="54" customHeight="1" x14ac:dyDescent="0.25">
      <c r="A7" s="180"/>
      <c r="B7" s="89" t="s">
        <v>8</v>
      </c>
      <c r="C7" s="89" t="s">
        <v>9</v>
      </c>
      <c r="D7" s="89" t="s">
        <v>10</v>
      </c>
      <c r="E7" s="89" t="s">
        <v>8</v>
      </c>
      <c r="F7" s="89" t="s">
        <v>9</v>
      </c>
      <c r="G7" s="89" t="s">
        <v>10</v>
      </c>
      <c r="H7" s="89" t="s">
        <v>8</v>
      </c>
      <c r="I7" s="89" t="s">
        <v>9</v>
      </c>
      <c r="J7" s="89" t="s">
        <v>10</v>
      </c>
      <c r="K7" s="89" t="s">
        <v>8</v>
      </c>
      <c r="L7" s="89" t="s">
        <v>9</v>
      </c>
      <c r="M7" s="89" t="s">
        <v>10</v>
      </c>
      <c r="N7" s="89" t="s">
        <v>8</v>
      </c>
      <c r="O7" s="89" t="s">
        <v>9</v>
      </c>
      <c r="P7" s="89" t="s">
        <v>10</v>
      </c>
      <c r="Q7" s="89" t="s">
        <v>8</v>
      </c>
      <c r="R7" s="89" t="s">
        <v>9</v>
      </c>
      <c r="S7" s="89" t="s">
        <v>10</v>
      </c>
      <c r="T7" s="212"/>
      <c r="U7" s="136"/>
      <c r="V7" s="136"/>
      <c r="W7" s="132"/>
      <c r="X7" s="90" t="s">
        <v>343</v>
      </c>
      <c r="Y7" s="90" t="s">
        <v>344</v>
      </c>
      <c r="Z7" s="36" t="s">
        <v>80</v>
      </c>
      <c r="AA7" s="36" t="s">
        <v>7</v>
      </c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</row>
    <row r="8" spans="1:39" ht="18.75" x14ac:dyDescent="0.3">
      <c r="A8" s="178" t="s">
        <v>74</v>
      </c>
      <c r="B8" s="8">
        <v>104434.55</v>
      </c>
      <c r="C8" s="8">
        <v>35484.629999999997</v>
      </c>
      <c r="D8" s="8">
        <v>129967.17</v>
      </c>
      <c r="E8" s="8">
        <v>829388.7</v>
      </c>
      <c r="F8" s="8">
        <v>774128.08</v>
      </c>
      <c r="G8" s="8">
        <v>1020773.57</v>
      </c>
      <c r="H8" s="8">
        <v>832089.06</v>
      </c>
      <c r="I8" s="8">
        <v>778635.96</v>
      </c>
      <c r="J8" s="8">
        <v>905893.25</v>
      </c>
      <c r="K8" s="8">
        <v>853571.64</v>
      </c>
      <c r="L8" s="8">
        <v>793654.29</v>
      </c>
      <c r="M8" s="8">
        <v>982294.67</v>
      </c>
      <c r="N8" s="100">
        <v>853799.66</v>
      </c>
      <c r="O8" s="100">
        <v>843655.77</v>
      </c>
      <c r="P8" s="100">
        <f>11688+627416.85+188800.15+8464.03+3664.96</f>
        <v>840033.99</v>
      </c>
      <c r="Q8" s="8">
        <f>B8+E8+H8+K8+N8</f>
        <v>3473283.6100000003</v>
      </c>
      <c r="R8" s="8">
        <f>C8+F8+I8+L8+O8</f>
        <v>3225558.73</v>
      </c>
      <c r="S8" s="8">
        <f>D8+G8+J8+M8+P8</f>
        <v>3878962.6500000004</v>
      </c>
      <c r="T8" s="8">
        <v>21200</v>
      </c>
      <c r="U8" s="8">
        <v>-11520.94</v>
      </c>
      <c r="V8" s="8">
        <f>-32413.29</f>
        <v>-32413.29</v>
      </c>
      <c r="W8" s="8">
        <v>-1338.21</v>
      </c>
      <c r="X8" s="10">
        <f>R8-S8+T8+U8+V8+W8</f>
        <v>-677476.36000000034</v>
      </c>
      <c r="Y8" s="10">
        <f>Q8-S8+T8+U8+V8+W8</f>
        <v>-429751.48000000004</v>
      </c>
      <c r="Z8" s="6">
        <f>O8*0.01</f>
        <v>8436.5577000000012</v>
      </c>
      <c r="AA8" s="6">
        <f>17193.86/4007030.3*N8</f>
        <v>3663.5889232201721</v>
      </c>
    </row>
    <row r="9" spans="1:39" ht="18.75" x14ac:dyDescent="0.3">
      <c r="A9" s="178" t="s">
        <v>72</v>
      </c>
      <c r="B9" s="8">
        <v>87348.23</v>
      </c>
      <c r="C9" s="8">
        <v>35720.589999999997</v>
      </c>
      <c r="D9" s="8">
        <v>108824.67</v>
      </c>
      <c r="E9" s="8">
        <v>685983.62</v>
      </c>
      <c r="F9" s="8">
        <v>643658.54</v>
      </c>
      <c r="G9" s="8">
        <v>841916.49</v>
      </c>
      <c r="H9" s="8">
        <v>675419.1</v>
      </c>
      <c r="I9" s="8">
        <v>610503.96</v>
      </c>
      <c r="J9" s="8">
        <v>774555.98</v>
      </c>
      <c r="K9" s="8">
        <v>697497.82</v>
      </c>
      <c r="L9" s="8">
        <v>692420.39</v>
      </c>
      <c r="M9" s="8">
        <v>888190.7</v>
      </c>
      <c r="N9" s="100">
        <v>736143.95</v>
      </c>
      <c r="O9" s="100">
        <v>784462.98</v>
      </c>
      <c r="P9" s="100">
        <f>11688+513595.81+160323.12+7805.56+3158.74</f>
        <v>696571.2300000001</v>
      </c>
      <c r="Q9" s="8">
        <f t="shared" ref="Q9:S13" si="0">B9+E9+H9+K9+N9</f>
        <v>2882392.7199999997</v>
      </c>
      <c r="R9" s="8">
        <f t="shared" si="0"/>
        <v>2766766.46</v>
      </c>
      <c r="S9" s="8">
        <f t="shared" si="0"/>
        <v>3310059.07</v>
      </c>
      <c r="T9" s="8">
        <v>21200</v>
      </c>
      <c r="U9" s="8">
        <v>-9642.36</v>
      </c>
      <c r="V9" s="8">
        <v>-31204.52</v>
      </c>
      <c r="W9" s="8">
        <v>-3335.64</v>
      </c>
      <c r="X9" s="10">
        <f t="shared" ref="X9:X13" si="1">R9-S9+T9+U9+V9+W9</f>
        <v>-566275.12999999989</v>
      </c>
      <c r="Y9" s="10">
        <f t="shared" ref="Y9:Y13" si="2">Q9-S9+T9+U9+V9+W9</f>
        <v>-450648.87000000011</v>
      </c>
      <c r="Z9" s="6">
        <f t="shared" ref="Z9:Z13" si="3">O9*0.01</f>
        <v>7844.6297999999997</v>
      </c>
      <c r="AA9" s="6">
        <f t="shared" ref="AA9:AA14" si="4">17193.86/4007030.3*N9</f>
        <v>3158.7372863506926</v>
      </c>
    </row>
    <row r="10" spans="1:39" ht="18.75" x14ac:dyDescent="0.3">
      <c r="A10" s="178" t="s">
        <v>75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0">
        <v>492763.98</v>
      </c>
      <c r="O10" s="100">
        <f>5684.75+349108.31+1986.44+13012.38</f>
        <v>369791.88</v>
      </c>
      <c r="P10" s="100">
        <f>9350.4+360472.78+70386.15+53865.79+3697.92+2114.41</f>
        <v>499887.45</v>
      </c>
      <c r="Q10" s="8">
        <f t="shared" si="0"/>
        <v>492763.98</v>
      </c>
      <c r="R10" s="8">
        <f t="shared" si="0"/>
        <v>369791.88</v>
      </c>
      <c r="S10" s="8">
        <f t="shared" si="0"/>
        <v>499887.45</v>
      </c>
      <c r="T10" s="8">
        <v>5200</v>
      </c>
      <c r="U10" s="8">
        <v>0</v>
      </c>
      <c r="V10" s="8">
        <v>0</v>
      </c>
      <c r="W10" s="8"/>
      <c r="X10" s="10">
        <f>R10-S10+T10+U10+V10+W10</f>
        <v>-124895.57</v>
      </c>
      <c r="Y10" s="10">
        <f t="shared" si="2"/>
        <v>-1923.4700000000303</v>
      </c>
      <c r="Z10" s="6">
        <f t="shared" si="3"/>
        <v>3697.9187999999999</v>
      </c>
      <c r="AA10" s="6">
        <f t="shared" si="4"/>
        <v>2114.4124827712935</v>
      </c>
    </row>
    <row r="11" spans="1:39" ht="18.75" x14ac:dyDescent="0.3">
      <c r="A11" s="178" t="s">
        <v>76</v>
      </c>
      <c r="B11" s="8">
        <v>76185.33</v>
      </c>
      <c r="C11" s="8">
        <v>24493.97</v>
      </c>
      <c r="D11" s="8">
        <v>95548.05</v>
      </c>
      <c r="E11" s="8">
        <v>605699.75</v>
      </c>
      <c r="F11" s="8">
        <v>529990.31000000006</v>
      </c>
      <c r="G11" s="8">
        <v>767908.74</v>
      </c>
      <c r="H11" s="8">
        <v>582312.24</v>
      </c>
      <c r="I11" s="8">
        <v>531704.39</v>
      </c>
      <c r="J11" s="8">
        <v>686953.06</v>
      </c>
      <c r="K11" s="8">
        <v>651567.48</v>
      </c>
      <c r="L11" s="8">
        <v>632876.06000000006</v>
      </c>
      <c r="M11" s="8">
        <v>759195.81</v>
      </c>
      <c r="N11" s="100">
        <v>725480.56</v>
      </c>
      <c r="O11" s="100">
        <f>9972.78+12844.95+5121.95+598812.1+7749.06+8738.29</f>
        <v>643239.13000000012</v>
      </c>
      <c r="P11" s="100">
        <f>9350.4+493879.22+146146.58+6432.39+3112.98</f>
        <v>658921.56999999995</v>
      </c>
      <c r="Q11" s="8">
        <f t="shared" si="0"/>
        <v>2641245.36</v>
      </c>
      <c r="R11" s="8">
        <f t="shared" si="0"/>
        <v>2362303.8600000003</v>
      </c>
      <c r="S11" s="8">
        <f t="shared" si="0"/>
        <v>2968527.23</v>
      </c>
      <c r="T11" s="8">
        <v>21200</v>
      </c>
      <c r="U11" s="8">
        <v>-8410.31</v>
      </c>
      <c r="V11" s="8">
        <v>-26536.62</v>
      </c>
      <c r="W11" s="8">
        <v>-7911</v>
      </c>
      <c r="X11" s="10">
        <f t="shared" si="1"/>
        <v>-627881.2999999997</v>
      </c>
      <c r="Y11" s="10">
        <f t="shared" si="2"/>
        <v>-348939.8000000001</v>
      </c>
      <c r="Z11" s="6">
        <f t="shared" si="3"/>
        <v>6432.3913000000011</v>
      </c>
      <c r="AA11" s="6">
        <f t="shared" si="4"/>
        <v>3112.9814968860114</v>
      </c>
    </row>
    <row r="12" spans="1:39" ht="18.75" x14ac:dyDescent="0.3">
      <c r="A12" s="178" t="s">
        <v>77</v>
      </c>
      <c r="B12" s="8">
        <v>59119.48</v>
      </c>
      <c r="C12" s="8">
        <v>18737.02</v>
      </c>
      <c r="D12" s="8">
        <v>70315.320000000007</v>
      </c>
      <c r="E12" s="8">
        <v>468065.01</v>
      </c>
      <c r="F12" s="8">
        <v>395264.96</v>
      </c>
      <c r="G12" s="8">
        <v>578848.75</v>
      </c>
      <c r="H12" s="8">
        <v>458188.57</v>
      </c>
      <c r="I12" s="8">
        <v>372886.68</v>
      </c>
      <c r="J12" s="8">
        <v>538360.32999999996</v>
      </c>
      <c r="K12" s="8">
        <v>489608.1</v>
      </c>
      <c r="L12" s="8">
        <v>431310.34</v>
      </c>
      <c r="M12" s="8">
        <v>563852</v>
      </c>
      <c r="N12" s="100">
        <f>6191.48+4602.21+467238.02+6459+6913.44</f>
        <v>491404.15</v>
      </c>
      <c r="O12" s="100">
        <f>7093.54+14504.94+3856.48+429941.31+5475.51+6226.19</f>
        <v>467097.97000000003</v>
      </c>
      <c r="P12" s="100">
        <f>7012.8+3000+344761.61+126549.58+4670.98+2108.58</f>
        <v>488103.55</v>
      </c>
      <c r="Q12" s="8">
        <f t="shared" si="0"/>
        <v>1966385.31</v>
      </c>
      <c r="R12" s="8">
        <f t="shared" si="0"/>
        <v>1685296.97</v>
      </c>
      <c r="S12" s="8">
        <f t="shared" si="0"/>
        <v>2239479.9499999997</v>
      </c>
      <c r="T12" s="8">
        <v>21200</v>
      </c>
      <c r="U12" s="8">
        <v>-6526.96</v>
      </c>
      <c r="V12" s="8">
        <v>-25477.3</v>
      </c>
      <c r="W12" s="8">
        <v>-6743.01</v>
      </c>
      <c r="X12" s="10">
        <f t="shared" si="1"/>
        <v>-571730.24999999977</v>
      </c>
      <c r="Y12" s="10">
        <f t="shared" si="2"/>
        <v>-290641.90999999968</v>
      </c>
      <c r="Z12" s="6">
        <f t="shared" si="3"/>
        <v>4670.9797000000008</v>
      </c>
      <c r="AA12" s="6">
        <f t="shared" si="4"/>
        <v>2108.5775564310061</v>
      </c>
    </row>
    <row r="13" spans="1:39" ht="18.75" x14ac:dyDescent="0.3">
      <c r="A13" s="178" t="s">
        <v>78</v>
      </c>
      <c r="B13" s="8">
        <v>89702.06</v>
      </c>
      <c r="C13" s="8">
        <v>32576.23</v>
      </c>
      <c r="D13" s="8">
        <v>119348.94</v>
      </c>
      <c r="E13" s="8">
        <v>717199.82</v>
      </c>
      <c r="F13" s="8">
        <v>646164.66</v>
      </c>
      <c r="G13" s="8">
        <v>895961.53</v>
      </c>
      <c r="H13" s="8">
        <v>698380.61</v>
      </c>
      <c r="I13" s="8">
        <v>615983.44999999995</v>
      </c>
      <c r="J13" s="8">
        <v>820955.93</v>
      </c>
      <c r="K13" s="8">
        <v>699058.38</v>
      </c>
      <c r="L13" s="8">
        <v>717948.08</v>
      </c>
      <c r="M13" s="8">
        <v>900684.41</v>
      </c>
      <c r="N13" s="100">
        <v>707438</v>
      </c>
      <c r="O13" s="100">
        <f>14515.74+20.65+673973.63+6.1+8263.79</f>
        <v>696779.91</v>
      </c>
      <c r="P13" s="100">
        <f>10519.2+557657.66+214994.19+6967.8+3034.18</f>
        <v>793173.03000000014</v>
      </c>
      <c r="Q13" s="8">
        <f t="shared" si="0"/>
        <v>2911778.8699999996</v>
      </c>
      <c r="R13" s="8">
        <f t="shared" si="0"/>
        <v>2709452.33</v>
      </c>
      <c r="S13" s="8">
        <f t="shared" si="0"/>
        <v>3530123.8400000003</v>
      </c>
      <c r="T13" s="8">
        <v>21200</v>
      </c>
      <c r="U13" s="8">
        <v>-9948.5</v>
      </c>
      <c r="V13" s="8">
        <v>-38134.58</v>
      </c>
      <c r="W13" s="8">
        <v>-8663.82</v>
      </c>
      <c r="X13" s="10">
        <f t="shared" si="1"/>
        <v>-856218.41000000015</v>
      </c>
      <c r="Y13" s="10">
        <f t="shared" si="2"/>
        <v>-653891.87000000058</v>
      </c>
      <c r="Z13" s="6">
        <f t="shared" si="3"/>
        <v>6967.7991000000002</v>
      </c>
      <c r="AA13" s="6">
        <f t="shared" si="4"/>
        <v>3035.5622543408272</v>
      </c>
    </row>
    <row r="14" spans="1:39" ht="18.75" x14ac:dyDescent="0.3">
      <c r="A14" s="200" t="s">
        <v>43</v>
      </c>
      <c r="B14" s="8">
        <f t="shared" ref="B14:M14" si="5">SUM(B8:B13)</f>
        <v>416789.64999999997</v>
      </c>
      <c r="C14" s="8">
        <f t="shared" si="5"/>
        <v>147012.44</v>
      </c>
      <c r="D14" s="8">
        <f t="shared" si="5"/>
        <v>524004.15</v>
      </c>
      <c r="E14" s="8">
        <f t="shared" si="5"/>
        <v>3306336.9</v>
      </c>
      <c r="F14" s="8">
        <f t="shared" si="5"/>
        <v>2989206.5500000003</v>
      </c>
      <c r="G14" s="8">
        <f t="shared" si="5"/>
        <v>4105409.08</v>
      </c>
      <c r="H14" s="8">
        <f t="shared" si="5"/>
        <v>3246389.58</v>
      </c>
      <c r="I14" s="8">
        <f t="shared" si="5"/>
        <v>2909714.4400000004</v>
      </c>
      <c r="J14" s="8">
        <f t="shared" si="5"/>
        <v>3726718.5500000003</v>
      </c>
      <c r="K14" s="8">
        <f t="shared" si="5"/>
        <v>3391303.42</v>
      </c>
      <c r="L14" s="8">
        <f t="shared" si="5"/>
        <v>3268209.16</v>
      </c>
      <c r="M14" s="8">
        <f t="shared" si="5"/>
        <v>4094217.5900000003</v>
      </c>
      <c r="N14" s="8">
        <f>SUM(N8:N13)</f>
        <v>4007030.3</v>
      </c>
      <c r="O14" s="8">
        <f>SUM(O8:O13)</f>
        <v>3805027.64</v>
      </c>
      <c r="P14" s="8">
        <f>SUM(P8:P13)</f>
        <v>3976690.8200000003</v>
      </c>
      <c r="Q14" s="8">
        <f t="shared" ref="Q14:S14" si="6">SUM(Q8:Q13)</f>
        <v>14367849.85</v>
      </c>
      <c r="R14" s="8">
        <f t="shared" si="6"/>
        <v>13119170.23</v>
      </c>
      <c r="S14" s="8">
        <f t="shared" si="6"/>
        <v>16427040.189999999</v>
      </c>
      <c r="T14" s="8">
        <f>SUM(T8:T13)</f>
        <v>111200</v>
      </c>
      <c r="U14" s="8">
        <f>SUM(U8:U13)</f>
        <v>-46049.07</v>
      </c>
      <c r="V14" s="8">
        <f>SUM(V8:V13)</f>
        <v>-153766.31</v>
      </c>
      <c r="W14" s="8">
        <f>SUM(W8:W13)</f>
        <v>-27991.68</v>
      </c>
      <c r="X14" s="10">
        <f t="shared" ref="X14:Y14" si="7">SUM(X8:X13)</f>
        <v>-3424477.0199999996</v>
      </c>
      <c r="Y14" s="10">
        <f t="shared" si="7"/>
        <v>-2175797.4000000004</v>
      </c>
      <c r="Z14" s="94">
        <f>SUM(Z8:Z13)</f>
        <v>38050.276400000002</v>
      </c>
      <c r="AA14" s="6">
        <f t="shared" si="4"/>
        <v>17193.86</v>
      </c>
    </row>
    <row r="15" spans="1:39" ht="18.75" x14ac:dyDescent="0.3">
      <c r="A15" s="13"/>
    </row>
    <row r="16" spans="1:39" ht="18.75" x14ac:dyDescent="0.25">
      <c r="A16" s="216" t="s">
        <v>329</v>
      </c>
      <c r="B16" s="217"/>
      <c r="C16" s="217"/>
      <c r="D16" s="217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</row>
    <row r="17" spans="1:33" ht="42" customHeight="1" x14ac:dyDescent="0.3">
      <c r="A17" s="178"/>
      <c r="B17" s="132" t="s">
        <v>268</v>
      </c>
      <c r="C17" s="132"/>
      <c r="D17" s="132"/>
      <c r="E17" s="132" t="s">
        <v>269</v>
      </c>
      <c r="F17" s="132"/>
      <c r="G17" s="132"/>
      <c r="H17" s="132" t="s">
        <v>270</v>
      </c>
      <c r="I17" s="132"/>
      <c r="J17" s="132"/>
      <c r="K17" s="132" t="s">
        <v>271</v>
      </c>
      <c r="L17" s="132"/>
      <c r="M17" s="132"/>
      <c r="N17" s="132" t="s">
        <v>297</v>
      </c>
      <c r="O17" s="132"/>
      <c r="P17" s="132"/>
      <c r="Q17" s="163" t="s">
        <v>342</v>
      </c>
      <c r="R17" s="163"/>
      <c r="S17" s="163"/>
      <c r="T17" s="175" t="s">
        <v>67</v>
      </c>
      <c r="U17" s="148"/>
      <c r="V17" s="36"/>
      <c r="W17" s="72"/>
      <c r="X17" s="36"/>
      <c r="Y17" s="36"/>
      <c r="Z17" s="36"/>
      <c r="AA17" s="36"/>
      <c r="AB17" s="36"/>
      <c r="AC17" s="36"/>
      <c r="AD17" s="36"/>
      <c r="AE17" s="36"/>
      <c r="AF17" s="36"/>
      <c r="AG17" s="36"/>
    </row>
    <row r="18" spans="1:33" ht="37.5" x14ac:dyDescent="0.3">
      <c r="A18" s="178"/>
      <c r="B18" s="89" t="s">
        <v>8</v>
      </c>
      <c r="C18" s="89" t="s">
        <v>9</v>
      </c>
      <c r="D18" s="89" t="s">
        <v>10</v>
      </c>
      <c r="E18" s="89" t="s">
        <v>8</v>
      </c>
      <c r="F18" s="89" t="s">
        <v>9</v>
      </c>
      <c r="G18" s="89" t="s">
        <v>10</v>
      </c>
      <c r="H18" s="89" t="s">
        <v>8</v>
      </c>
      <c r="I18" s="89" t="s">
        <v>9</v>
      </c>
      <c r="J18" s="89" t="s">
        <v>10</v>
      </c>
      <c r="K18" s="89" t="s">
        <v>8</v>
      </c>
      <c r="L18" s="89" t="s">
        <v>9</v>
      </c>
      <c r="M18" s="89" t="s">
        <v>10</v>
      </c>
      <c r="N18" s="89" t="s">
        <v>8</v>
      </c>
      <c r="O18" s="89" t="s">
        <v>9</v>
      </c>
      <c r="P18" s="89" t="s">
        <v>10</v>
      </c>
      <c r="Q18" s="89" t="s">
        <v>8</v>
      </c>
      <c r="R18" s="89" t="s">
        <v>9</v>
      </c>
      <c r="S18" s="89" t="s">
        <v>10</v>
      </c>
      <c r="T18" s="90" t="s">
        <v>343</v>
      </c>
      <c r="U18" s="90" t="s">
        <v>344</v>
      </c>
      <c r="V18" s="36"/>
      <c r="W18" s="72"/>
      <c r="X18" s="36"/>
      <c r="Y18" s="36"/>
      <c r="Z18" s="36"/>
      <c r="AA18" s="36"/>
      <c r="AB18" s="36"/>
      <c r="AC18" s="36"/>
      <c r="AD18" s="36"/>
      <c r="AE18" s="36"/>
      <c r="AF18" s="36"/>
      <c r="AG18" s="36"/>
    </row>
    <row r="19" spans="1:33" ht="18.75" x14ac:dyDescent="0.3">
      <c r="A19" s="178" t="s">
        <v>74</v>
      </c>
      <c r="B19" s="8">
        <v>39830.14</v>
      </c>
      <c r="C19" s="8">
        <v>13533.42</v>
      </c>
      <c r="D19" s="8"/>
      <c r="E19" s="8">
        <v>304824</v>
      </c>
      <c r="F19" s="8">
        <v>284400.78999999998</v>
      </c>
      <c r="G19" s="8">
        <v>118009.63</v>
      </c>
      <c r="H19" s="8">
        <v>304953</v>
      </c>
      <c r="I19" s="8">
        <v>281776.57</v>
      </c>
      <c r="J19" s="8">
        <v>528103</v>
      </c>
      <c r="K19" s="8">
        <v>305082</v>
      </c>
      <c r="L19" s="8">
        <v>279715.52</v>
      </c>
      <c r="M19" s="8">
        <v>129884</v>
      </c>
      <c r="N19" s="8">
        <v>305082</v>
      </c>
      <c r="O19" s="8">
        <v>288248.59999999998</v>
      </c>
      <c r="P19" s="9">
        <v>109079</v>
      </c>
      <c r="Q19" s="8">
        <f>B19+E19+H19+N19+K19</f>
        <v>1259771.1400000001</v>
      </c>
      <c r="R19" s="8">
        <f>C19+F19+I19+L19+O19</f>
        <v>1147674.8999999999</v>
      </c>
      <c r="S19" s="8">
        <f>D19+G19+J19+M19+P19</f>
        <v>885075.63</v>
      </c>
      <c r="T19" s="10">
        <f t="shared" ref="T19:T24" si="8">R19-S19</f>
        <v>262599.2699999999</v>
      </c>
      <c r="U19" s="10">
        <f t="shared" ref="U19:U24" si="9">Q19-S19</f>
        <v>374695.51000000013</v>
      </c>
      <c r="W19" s="204"/>
      <c r="X19" s="51"/>
    </row>
    <row r="20" spans="1:33" ht="18.75" x14ac:dyDescent="0.3">
      <c r="A20" s="178" t="s">
        <v>72</v>
      </c>
      <c r="B20" s="8">
        <v>33313.589999999997</v>
      </c>
      <c r="C20" s="8">
        <v>13623.41</v>
      </c>
      <c r="D20" s="8"/>
      <c r="E20" s="8">
        <v>305123.52</v>
      </c>
      <c r="F20" s="8">
        <v>286144.84000000003</v>
      </c>
      <c r="G20" s="8">
        <v>301247.46999999997</v>
      </c>
      <c r="H20" s="8">
        <v>419973.24</v>
      </c>
      <c r="I20" s="8">
        <v>369576.45</v>
      </c>
      <c r="J20" s="8">
        <v>628758.75</v>
      </c>
      <c r="K20" s="8">
        <v>515524.48</v>
      </c>
      <c r="L20" s="8">
        <v>468804.23</v>
      </c>
      <c r="M20" s="8">
        <v>50905</v>
      </c>
      <c r="N20" s="8">
        <v>358426.3</v>
      </c>
      <c r="O20" s="8">
        <v>402466.82</v>
      </c>
      <c r="P20" s="9">
        <v>516559.75</v>
      </c>
      <c r="Q20" s="8">
        <f t="shared" ref="Q20:Q24" si="10">B20+E20+H20+N20+K20</f>
        <v>1632361.13</v>
      </c>
      <c r="R20" s="8">
        <f t="shared" ref="R20:S24" si="11">C20+F20+I20+L20+O20</f>
        <v>1540615.75</v>
      </c>
      <c r="S20" s="8">
        <f t="shared" si="11"/>
        <v>1497470.97</v>
      </c>
      <c r="T20" s="10">
        <f t="shared" si="8"/>
        <v>43144.780000000028</v>
      </c>
      <c r="U20" s="10">
        <f t="shared" si="9"/>
        <v>134890.15999999992</v>
      </c>
      <c r="W20" s="204"/>
    </row>
    <row r="21" spans="1:33" ht="18.75" x14ac:dyDescent="0.3">
      <c r="A21" s="178" t="s">
        <v>75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>
        <v>77453.19</v>
      </c>
      <c r="O21" s="8">
        <v>58361.29</v>
      </c>
      <c r="P21" s="6">
        <v>194461.51</v>
      </c>
      <c r="Q21" s="8">
        <f t="shared" si="10"/>
        <v>77453.19</v>
      </c>
      <c r="R21" s="8">
        <f t="shared" si="11"/>
        <v>58361.29</v>
      </c>
      <c r="S21" s="8">
        <f t="shared" si="11"/>
        <v>194461.51</v>
      </c>
      <c r="T21" s="10">
        <f t="shared" si="8"/>
        <v>-136100.22</v>
      </c>
      <c r="U21" s="10">
        <f t="shared" si="9"/>
        <v>-117008.32000000001</v>
      </c>
      <c r="W21" s="204"/>
    </row>
    <row r="22" spans="1:33" ht="18.75" x14ac:dyDescent="0.3">
      <c r="A22" s="178" t="s">
        <v>76</v>
      </c>
      <c r="B22" s="8">
        <v>29056.2</v>
      </c>
      <c r="C22" s="8">
        <v>9341.7099999999991</v>
      </c>
      <c r="D22" s="8"/>
      <c r="E22" s="8">
        <v>276594.84999999998</v>
      </c>
      <c r="F22" s="8">
        <v>241854.53</v>
      </c>
      <c r="G22" s="8">
        <v>156636.9</v>
      </c>
      <c r="H22" s="8">
        <v>356579.02</v>
      </c>
      <c r="I22" s="8">
        <v>323773.75</v>
      </c>
      <c r="J22" s="8">
        <v>634044.94999999995</v>
      </c>
      <c r="K22" s="8">
        <v>387250.92</v>
      </c>
      <c r="L22" s="8">
        <v>359627.28</v>
      </c>
      <c r="M22" s="8">
        <v>704433</v>
      </c>
      <c r="N22" s="8">
        <v>387250.92</v>
      </c>
      <c r="O22" s="8">
        <v>343125.12</v>
      </c>
      <c r="P22" s="9">
        <v>10154.02</v>
      </c>
      <c r="Q22" s="8">
        <f t="shared" si="10"/>
        <v>1436731.91</v>
      </c>
      <c r="R22" s="8">
        <f>C22+F22+I22+L22+O22</f>
        <v>1277722.3900000001</v>
      </c>
      <c r="S22" s="8">
        <f t="shared" si="11"/>
        <v>1505268.87</v>
      </c>
      <c r="T22" s="10">
        <f t="shared" si="8"/>
        <v>-227546.47999999998</v>
      </c>
      <c r="U22" s="10">
        <f t="shared" si="9"/>
        <v>-68536.960000000196</v>
      </c>
      <c r="W22" s="204"/>
    </row>
    <row r="23" spans="1:33" ht="18.75" x14ac:dyDescent="0.3">
      <c r="A23" s="178" t="s">
        <v>77</v>
      </c>
      <c r="B23" s="8">
        <v>22547.48</v>
      </c>
      <c r="C23" s="8">
        <v>7146.08</v>
      </c>
      <c r="D23" s="8"/>
      <c r="E23" s="8">
        <v>452468.76</v>
      </c>
      <c r="F23" s="8">
        <v>381295.42</v>
      </c>
      <c r="G23" s="8">
        <v>381887.59</v>
      </c>
      <c r="H23" s="8">
        <v>676494.88</v>
      </c>
      <c r="I23" s="8">
        <v>561490.75</v>
      </c>
      <c r="J23" s="8">
        <v>807484.32</v>
      </c>
      <c r="K23" s="8">
        <v>396763.8</v>
      </c>
      <c r="L23" s="8">
        <v>379598.8</v>
      </c>
      <c r="M23" s="8">
        <v>497146</v>
      </c>
      <c r="N23" s="8">
        <v>172506</v>
      </c>
      <c r="O23" s="8">
        <v>172987.39</v>
      </c>
      <c r="P23" s="9">
        <v>17972.41</v>
      </c>
      <c r="Q23" s="8">
        <f t="shared" si="10"/>
        <v>1720780.9200000002</v>
      </c>
      <c r="R23" s="8">
        <f t="shared" ref="R23:R24" si="12">C23+F23+I23+L23+O23</f>
        <v>1502518.44</v>
      </c>
      <c r="S23" s="8">
        <f t="shared" si="11"/>
        <v>1704490.3199999998</v>
      </c>
      <c r="T23" s="10">
        <f t="shared" si="8"/>
        <v>-201971.87999999989</v>
      </c>
      <c r="U23" s="10">
        <f t="shared" si="9"/>
        <v>16290.600000000326</v>
      </c>
      <c r="W23" s="204"/>
    </row>
    <row r="24" spans="1:33" ht="18.75" x14ac:dyDescent="0.3">
      <c r="A24" s="178" t="s">
        <v>78</v>
      </c>
      <c r="B24" s="8">
        <v>34211.31</v>
      </c>
      <c r="C24" s="8">
        <v>12424.19</v>
      </c>
      <c r="D24" s="8"/>
      <c r="E24" s="8">
        <v>493383.66</v>
      </c>
      <c r="F24" s="8">
        <v>444341.32</v>
      </c>
      <c r="G24" s="8">
        <v>567395.05000000005</v>
      </c>
      <c r="H24" s="8">
        <v>716143.9</v>
      </c>
      <c r="I24" s="8">
        <v>635219.64</v>
      </c>
      <c r="J24" s="8">
        <v>133194.91</v>
      </c>
      <c r="K24" s="8">
        <v>752066.34</v>
      </c>
      <c r="L24" s="8">
        <v>708800.04</v>
      </c>
      <c r="M24" s="8">
        <v>1435115</v>
      </c>
      <c r="N24" s="8">
        <v>529289.52</v>
      </c>
      <c r="O24" s="8">
        <v>550520.94999999995</v>
      </c>
      <c r="P24" s="9">
        <v>41404.870000000003</v>
      </c>
      <c r="Q24" s="8">
        <f t="shared" si="10"/>
        <v>2525094.73</v>
      </c>
      <c r="R24" s="8">
        <f t="shared" si="12"/>
        <v>2351306.1399999997</v>
      </c>
      <c r="S24" s="8">
        <f t="shared" si="11"/>
        <v>2177109.83</v>
      </c>
      <c r="T24" s="10">
        <f t="shared" si="8"/>
        <v>174196.30999999959</v>
      </c>
      <c r="U24" s="10">
        <f t="shared" si="9"/>
        <v>347984.89999999991</v>
      </c>
      <c r="W24" s="204"/>
    </row>
    <row r="25" spans="1:33" ht="18.75" x14ac:dyDescent="0.3">
      <c r="A25" s="200" t="s">
        <v>43</v>
      </c>
      <c r="B25" s="8">
        <f>SUM(B19:B24)</f>
        <v>158958.71999999997</v>
      </c>
      <c r="C25" s="8">
        <f>SUM(C19:C24)</f>
        <v>56068.810000000005</v>
      </c>
      <c r="D25" s="8"/>
      <c r="E25" s="8">
        <f t="shared" ref="E25:M25" si="13">SUM(E19:E24)</f>
        <v>1832394.7899999998</v>
      </c>
      <c r="F25" s="8">
        <f t="shared" si="13"/>
        <v>1638036.9000000001</v>
      </c>
      <c r="G25" s="8">
        <f t="shared" si="13"/>
        <v>1525176.6400000001</v>
      </c>
      <c r="H25" s="8">
        <f t="shared" si="13"/>
        <v>2474144.04</v>
      </c>
      <c r="I25" s="8">
        <f t="shared" si="13"/>
        <v>2171837.16</v>
      </c>
      <c r="J25" s="8">
        <f t="shared" si="13"/>
        <v>2731585.93</v>
      </c>
      <c r="K25" s="8">
        <f t="shared" si="13"/>
        <v>2356687.54</v>
      </c>
      <c r="L25" s="8">
        <f t="shared" si="13"/>
        <v>2196545.87</v>
      </c>
      <c r="M25" s="8">
        <f t="shared" si="13"/>
        <v>2817483</v>
      </c>
      <c r="N25" s="8">
        <f>SUM(N19:N24)</f>
        <v>1830007.93</v>
      </c>
      <c r="O25" s="8">
        <f>SUM(O19:O24)</f>
        <v>1815710.1700000002</v>
      </c>
      <c r="P25" s="9">
        <f>SUM(P19:P24)</f>
        <v>889631.56</v>
      </c>
      <c r="Q25" s="8">
        <f t="shared" ref="Q25:S25" si="14">SUM(Q19:Q24)</f>
        <v>8652193.0199999996</v>
      </c>
      <c r="R25" s="8">
        <f t="shared" si="14"/>
        <v>7878198.9099999992</v>
      </c>
      <c r="S25" s="8">
        <f t="shared" si="14"/>
        <v>7963877.1300000008</v>
      </c>
      <c r="T25" s="10">
        <f>SUM(T19:T24)</f>
        <v>-85678.22000000035</v>
      </c>
      <c r="U25" s="10">
        <f>SUM(U19:U24)</f>
        <v>688315.89000000013</v>
      </c>
      <c r="W25" s="204"/>
    </row>
    <row r="26" spans="1:33" x14ac:dyDescent="0.25">
      <c r="W26" s="26"/>
    </row>
  </sheetData>
  <mergeCells count="24">
    <mergeCell ref="A16:D16"/>
    <mergeCell ref="T17:U17"/>
    <mergeCell ref="Z6:AA6"/>
    <mergeCell ref="B17:D17"/>
    <mergeCell ref="E17:G17"/>
    <mergeCell ref="H17:J17"/>
    <mergeCell ref="K17:M17"/>
    <mergeCell ref="N17:P17"/>
    <mergeCell ref="Q17:S17"/>
    <mergeCell ref="X5:Y6"/>
    <mergeCell ref="B6:D6"/>
    <mergeCell ref="E6:G6"/>
    <mergeCell ref="H6:J6"/>
    <mergeCell ref="K6:M6"/>
    <mergeCell ref="U6:U7"/>
    <mergeCell ref="V6:V7"/>
    <mergeCell ref="W6:W7"/>
    <mergeCell ref="U5:W5"/>
    <mergeCell ref="S4:T4"/>
    <mergeCell ref="A5:A6"/>
    <mergeCell ref="N5:P6"/>
    <mergeCell ref="Q5:S6"/>
    <mergeCell ref="T5:T7"/>
    <mergeCell ref="B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26"/>
  <sheetViews>
    <sheetView topLeftCell="Z1" workbookViewId="0">
      <selection activeCell="AA25" sqref="AA25"/>
    </sheetView>
  </sheetViews>
  <sheetFormatPr defaultRowHeight="15.75" x14ac:dyDescent="0.25"/>
  <cols>
    <col min="1" max="1" width="23.25" style="6" customWidth="1"/>
    <col min="2" max="2" width="13" style="6" customWidth="1"/>
    <col min="3" max="3" width="11.5" style="6" customWidth="1"/>
    <col min="4" max="4" width="12.375" style="6" customWidth="1"/>
    <col min="5" max="5" width="13.125" style="6" customWidth="1"/>
    <col min="6" max="6" width="11.875" style="6" customWidth="1"/>
    <col min="7" max="7" width="13.375" style="6" customWidth="1"/>
    <col min="8" max="8" width="11.5" style="6" customWidth="1"/>
    <col min="9" max="9" width="11.75" style="6" customWidth="1"/>
    <col min="10" max="10" width="11.375" style="6" customWidth="1"/>
    <col min="11" max="11" width="12.875" style="6" customWidth="1"/>
    <col min="12" max="12" width="12.375" style="6" customWidth="1"/>
    <col min="13" max="13" width="11.125" style="6" customWidth="1"/>
    <col min="14" max="14" width="14" style="6" customWidth="1"/>
    <col min="15" max="15" width="13" style="6" customWidth="1"/>
    <col min="16" max="16" width="13.125" style="6" customWidth="1"/>
    <col min="17" max="17" width="11.125" style="6" customWidth="1"/>
    <col min="18" max="18" width="9.625" style="6" customWidth="1"/>
    <col min="19" max="19" width="10.125" style="6" customWidth="1"/>
    <col min="20" max="20" width="12.875" style="6" customWidth="1"/>
    <col min="21" max="21" width="14" style="6" customWidth="1"/>
    <col min="22" max="22" width="13.375" style="6" customWidth="1"/>
    <col min="23" max="23" width="10.625" style="6" customWidth="1"/>
    <col min="24" max="25" width="10.875" style="6" customWidth="1"/>
    <col min="26" max="26" width="12.125" style="6" customWidth="1"/>
    <col min="27" max="27" width="13.25" style="6" customWidth="1"/>
    <col min="28" max="28" width="12.125" style="6" customWidth="1"/>
    <col min="29" max="29" width="13.375" style="6" customWidth="1"/>
    <col min="30" max="30" width="14.25" style="6" customWidth="1"/>
    <col min="31" max="31" width="13.375" style="6" customWidth="1"/>
    <col min="32" max="32" width="15.75" style="6" customWidth="1"/>
    <col min="33" max="33" width="10.375" style="6" customWidth="1"/>
    <col min="34" max="34" width="10.875" style="6" customWidth="1"/>
    <col min="35" max="35" width="13.125" style="6" customWidth="1"/>
    <col min="36" max="16384" width="9" style="6"/>
  </cols>
  <sheetData>
    <row r="3" spans="1:35" ht="36" customHeight="1" x14ac:dyDescent="0.25">
      <c r="A3" s="35" t="s">
        <v>90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132" t="s">
        <v>275</v>
      </c>
      <c r="AA3" s="132"/>
      <c r="AB3" s="132"/>
      <c r="AC3" s="143" t="s">
        <v>274</v>
      </c>
      <c r="AD3" s="149" t="s">
        <v>50</v>
      </c>
      <c r="AE3" s="149"/>
      <c r="AF3" s="149"/>
      <c r="AG3" s="149"/>
      <c r="AH3" s="149"/>
      <c r="AI3" s="143" t="s">
        <v>91</v>
      </c>
    </row>
    <row r="4" spans="1:35" ht="39" customHeight="1" x14ac:dyDescent="0.25">
      <c r="A4" s="144" t="s">
        <v>44</v>
      </c>
      <c r="B4" s="132" t="s">
        <v>268</v>
      </c>
      <c r="C4" s="132"/>
      <c r="D4" s="132"/>
      <c r="E4" s="132" t="s">
        <v>269</v>
      </c>
      <c r="F4" s="132"/>
      <c r="G4" s="132"/>
      <c r="H4" s="132" t="s">
        <v>270</v>
      </c>
      <c r="I4" s="132"/>
      <c r="J4" s="132"/>
      <c r="K4" s="146" t="s">
        <v>271</v>
      </c>
      <c r="L4" s="147"/>
      <c r="M4" s="148"/>
      <c r="N4" s="146" t="s">
        <v>272</v>
      </c>
      <c r="O4" s="147"/>
      <c r="P4" s="148"/>
      <c r="Q4" s="136" t="s">
        <v>273</v>
      </c>
      <c r="R4" s="136"/>
      <c r="S4" s="136"/>
      <c r="T4" s="132" t="s">
        <v>92</v>
      </c>
      <c r="U4" s="132"/>
      <c r="V4" s="132"/>
      <c r="W4" s="132" t="s">
        <v>69</v>
      </c>
      <c r="X4" s="132"/>
      <c r="Y4" s="146"/>
      <c r="Z4" s="132"/>
      <c r="AA4" s="132"/>
      <c r="AB4" s="132"/>
      <c r="AC4" s="143"/>
      <c r="AD4" s="136" t="s">
        <v>263</v>
      </c>
      <c r="AE4" s="136" t="s">
        <v>93</v>
      </c>
      <c r="AF4" s="136" t="s">
        <v>3</v>
      </c>
      <c r="AG4" s="141" t="s">
        <v>7</v>
      </c>
      <c r="AH4" s="150" t="s">
        <v>6</v>
      </c>
      <c r="AI4" s="143"/>
    </row>
    <row r="5" spans="1:35" ht="100.5" customHeight="1" x14ac:dyDescent="0.25">
      <c r="A5" s="145"/>
      <c r="B5" s="17" t="s">
        <v>8</v>
      </c>
      <c r="C5" s="17" t="s">
        <v>9</v>
      </c>
      <c r="D5" s="38" t="s">
        <v>10</v>
      </c>
      <c r="E5" s="17" t="s">
        <v>8</v>
      </c>
      <c r="F5" s="17" t="s">
        <v>9</v>
      </c>
      <c r="G5" s="17" t="s">
        <v>10</v>
      </c>
      <c r="H5" s="17" t="s">
        <v>8</v>
      </c>
      <c r="I5" s="17" t="s">
        <v>9</v>
      </c>
      <c r="J5" s="17" t="s">
        <v>10</v>
      </c>
      <c r="K5" s="17" t="s">
        <v>8</v>
      </c>
      <c r="L5" s="17" t="s">
        <v>9</v>
      </c>
      <c r="M5" s="17" t="s">
        <v>10</v>
      </c>
      <c r="N5" s="17" t="s">
        <v>8</v>
      </c>
      <c r="O5" s="17" t="s">
        <v>9</v>
      </c>
      <c r="P5" s="17" t="s">
        <v>10</v>
      </c>
      <c r="Q5" s="17" t="s">
        <v>8</v>
      </c>
      <c r="R5" s="17" t="s">
        <v>9</v>
      </c>
      <c r="S5" s="17" t="s">
        <v>10</v>
      </c>
      <c r="T5" s="17" t="s">
        <v>8</v>
      </c>
      <c r="U5" s="17" t="s">
        <v>9</v>
      </c>
      <c r="V5" s="17" t="s">
        <v>10</v>
      </c>
      <c r="W5" s="17" t="s">
        <v>8</v>
      </c>
      <c r="X5" s="17" t="s">
        <v>9</v>
      </c>
      <c r="Y5" s="17" t="s">
        <v>10</v>
      </c>
      <c r="Z5" s="17" t="s">
        <v>8</v>
      </c>
      <c r="AA5" s="17" t="s">
        <v>9</v>
      </c>
      <c r="AB5" s="17" t="s">
        <v>10</v>
      </c>
      <c r="AC5" s="143"/>
      <c r="AD5" s="136"/>
      <c r="AE5" s="136"/>
      <c r="AF5" s="136"/>
      <c r="AG5" s="142"/>
      <c r="AH5" s="150"/>
      <c r="AI5" s="143"/>
    </row>
    <row r="6" spans="1:35" x14ac:dyDescent="0.25">
      <c r="A6" s="29" t="s">
        <v>81</v>
      </c>
      <c r="B6" s="8">
        <f>198063+98120.67+26066.7</f>
        <v>322250.37</v>
      </c>
      <c r="C6" s="8">
        <f>168414.81+83432.96+22130.76</f>
        <v>273978.53000000003</v>
      </c>
      <c r="D6" s="8">
        <f>200317.08+84084.56+6392.66</f>
        <v>290794.3</v>
      </c>
      <c r="E6" s="8">
        <f>28412.4+417330.65</f>
        <v>445743.05000000005</v>
      </c>
      <c r="F6" s="8">
        <f>28498.39+415745.2</f>
        <v>444243.59</v>
      </c>
      <c r="G6" s="8">
        <f>3453.09+398169.71</f>
        <v>401622.80000000005</v>
      </c>
      <c r="H6" s="8">
        <v>474957.2</v>
      </c>
      <c r="I6" s="8">
        <v>447009.29</v>
      </c>
      <c r="J6" s="8">
        <v>452025.22</v>
      </c>
      <c r="K6" s="30">
        <v>508680.86</v>
      </c>
      <c r="L6" s="30">
        <v>485113.28</v>
      </c>
      <c r="M6" s="8">
        <v>443116.18</v>
      </c>
      <c r="N6" s="8">
        <f t="shared" ref="N6:P15" si="0">B6+E6+H6+K6</f>
        <v>1751631.48</v>
      </c>
      <c r="O6" s="8">
        <f t="shared" si="0"/>
        <v>1650344.6900000002</v>
      </c>
      <c r="P6" s="8">
        <f t="shared" si="0"/>
        <v>1587558.5</v>
      </c>
      <c r="Q6" s="7">
        <v>542307.9</v>
      </c>
      <c r="R6" s="7">
        <v>526799.9443125691</v>
      </c>
      <c r="S6" s="7">
        <v>555246.59</v>
      </c>
      <c r="T6" s="8">
        <f>N6+Q6</f>
        <v>2293939.38</v>
      </c>
      <c r="U6" s="8">
        <f>O6+R6</f>
        <v>2177144.6343125692</v>
      </c>
      <c r="V6" s="8">
        <f>P6+S6</f>
        <v>2142805.09</v>
      </c>
      <c r="W6" s="7">
        <v>666678.46</v>
      </c>
      <c r="X6" s="7">
        <v>678284.32</v>
      </c>
      <c r="Y6" s="7">
        <v>589893.6</v>
      </c>
      <c r="Z6" s="8">
        <f>T6+W6</f>
        <v>2960617.84</v>
      </c>
      <c r="AA6" s="8">
        <f>U6+X6</f>
        <v>2855428.954312569</v>
      </c>
      <c r="AB6" s="8">
        <f>V6+Y6</f>
        <v>2732698.69</v>
      </c>
      <c r="AC6" s="10">
        <f>AA6-AB6</f>
        <v>122730.26431256905</v>
      </c>
      <c r="AD6" s="25">
        <v>-21771.45</v>
      </c>
      <c r="AE6" s="7">
        <v>-27173.29</v>
      </c>
      <c r="AF6" s="7"/>
      <c r="AG6" s="7">
        <v>-6967.01</v>
      </c>
      <c r="AH6" s="7">
        <v>-6514.67</v>
      </c>
      <c r="AI6" s="10">
        <f>AC6+AD6+AE6+AF6+AG6+AH6</f>
        <v>60303.844312569068</v>
      </c>
    </row>
    <row r="7" spans="1:35" x14ac:dyDescent="0.25">
      <c r="A7" s="22" t="s">
        <v>82</v>
      </c>
      <c r="B7" s="8">
        <f>197395.55+98047.29+26007.3</f>
        <v>321450.13999999996</v>
      </c>
      <c r="C7" s="8">
        <f>167752.96+83323.64+22101.83</f>
        <v>273178.43</v>
      </c>
      <c r="D7" s="8">
        <f>199134.26+84084.56+6386.45</f>
        <v>289605.27</v>
      </c>
      <c r="E7" s="8">
        <f>28370.6+416291.22</f>
        <v>444661.81999999995</v>
      </c>
      <c r="F7" s="8">
        <f>26784.8+390001.33</f>
        <v>416786.13</v>
      </c>
      <c r="G7" s="8">
        <f>3449.73+396735.97</f>
        <v>400185.69999999995</v>
      </c>
      <c r="H7" s="8">
        <v>480538.06</v>
      </c>
      <c r="I7" s="8">
        <v>426762.45</v>
      </c>
      <c r="J7" s="8">
        <v>445239.87</v>
      </c>
      <c r="K7" s="30">
        <v>497981.74</v>
      </c>
      <c r="L7" s="30">
        <v>488457.75</v>
      </c>
      <c r="M7" s="8">
        <v>422536.13</v>
      </c>
      <c r="N7" s="8">
        <f t="shared" si="0"/>
        <v>1744631.76</v>
      </c>
      <c r="O7" s="8">
        <f t="shared" si="0"/>
        <v>1605184.76</v>
      </c>
      <c r="P7" s="8">
        <f t="shared" si="0"/>
        <v>1557566.9699999997</v>
      </c>
      <c r="Q7" s="7">
        <v>543748</v>
      </c>
      <c r="R7" s="7">
        <v>518145.06491870119</v>
      </c>
      <c r="S7" s="7">
        <v>425365.15</v>
      </c>
      <c r="T7" s="8">
        <f t="shared" ref="T7:V15" si="1">N7+Q7</f>
        <v>2288379.7599999998</v>
      </c>
      <c r="U7" s="8">
        <f t="shared" si="1"/>
        <v>2123329.8249187013</v>
      </c>
      <c r="V7" s="8">
        <f t="shared" si="1"/>
        <v>1982932.1199999996</v>
      </c>
      <c r="W7" s="7">
        <v>655607.47</v>
      </c>
      <c r="X7" s="7">
        <v>669728.5</v>
      </c>
      <c r="Y7" s="7">
        <v>430633</v>
      </c>
      <c r="Z7" s="8">
        <f t="shared" ref="Z7:AB14" si="2">T7+W7</f>
        <v>2943987.2299999995</v>
      </c>
      <c r="AA7" s="8">
        <f t="shared" si="2"/>
        <v>2793058.3249187013</v>
      </c>
      <c r="AB7" s="8">
        <f t="shared" si="2"/>
        <v>2413565.1199999996</v>
      </c>
      <c r="AC7" s="10">
        <f t="shared" ref="AC7:AC14" si="3">AA7-AB7</f>
        <v>379493.20491870167</v>
      </c>
      <c r="AD7" s="25">
        <v>-21233.3</v>
      </c>
      <c r="AE7" s="7">
        <v>-22164.89</v>
      </c>
      <c r="AF7" s="7"/>
      <c r="AG7" s="7">
        <v>-6960.24</v>
      </c>
      <c r="AH7" s="7">
        <v>-5131.17</v>
      </c>
      <c r="AI7" s="10">
        <f t="shared" ref="AI7:AI14" si="4">AC7+AD7+AE7+AF7+AG7+AH7</f>
        <v>324003.60491870169</v>
      </c>
    </row>
    <row r="8" spans="1:35" x14ac:dyDescent="0.25">
      <c r="A8" s="22" t="s">
        <v>83</v>
      </c>
      <c r="B8" s="8">
        <f>123286.79+38982.68+15846.6</f>
        <v>178116.07</v>
      </c>
      <c r="C8" s="8">
        <f>107271.47+33880.85+13772.7</f>
        <v>154925.02000000002</v>
      </c>
      <c r="D8" s="8">
        <f>122856.47+37099.52+3892.01</f>
        <v>163848</v>
      </c>
      <c r="E8" s="8">
        <f>17287.2+221313.18</f>
        <v>238600.38</v>
      </c>
      <c r="F8" s="8">
        <f>16996.72+215896.03</f>
        <v>232892.75</v>
      </c>
      <c r="G8" s="8">
        <f>2102.33+236272.79</f>
        <v>238375.12</v>
      </c>
      <c r="H8" s="8">
        <v>257346.08</v>
      </c>
      <c r="I8" s="8">
        <v>253300.71100000001</v>
      </c>
      <c r="J8" s="8">
        <v>260801.44</v>
      </c>
      <c r="K8" s="30">
        <v>271917.5</v>
      </c>
      <c r="L8" s="30">
        <v>274921.96000000002</v>
      </c>
      <c r="M8" s="8">
        <v>244833.36</v>
      </c>
      <c r="N8" s="8">
        <f t="shared" si="0"/>
        <v>945980.03</v>
      </c>
      <c r="O8" s="8">
        <f t="shared" si="0"/>
        <v>916040.44100000011</v>
      </c>
      <c r="P8" s="8">
        <f t="shared" si="0"/>
        <v>907857.92000000004</v>
      </c>
      <c r="Q8" s="7">
        <v>330689.84999999998</v>
      </c>
      <c r="R8" s="7">
        <v>330245.64950895694</v>
      </c>
      <c r="S8" s="7">
        <v>358732.76</v>
      </c>
      <c r="T8" s="8">
        <f t="shared" si="1"/>
        <v>1276669.8799999999</v>
      </c>
      <c r="U8" s="8">
        <f t="shared" si="1"/>
        <v>1246286.0905089569</v>
      </c>
      <c r="V8" s="8">
        <f t="shared" si="1"/>
        <v>1266590.6800000002</v>
      </c>
      <c r="W8" s="7">
        <v>366646.43</v>
      </c>
      <c r="X8" s="7">
        <v>376420.9</v>
      </c>
      <c r="Y8" s="7">
        <v>349463.93</v>
      </c>
      <c r="Z8" s="8">
        <f t="shared" si="2"/>
        <v>1643316.3099999998</v>
      </c>
      <c r="AA8" s="8">
        <f t="shared" si="2"/>
        <v>1622706.9905089568</v>
      </c>
      <c r="AB8" s="8">
        <f t="shared" si="2"/>
        <v>1616054.61</v>
      </c>
      <c r="AC8" s="10">
        <f t="shared" si="3"/>
        <v>6652.3805089567322</v>
      </c>
      <c r="AD8" s="25">
        <v>-12462.86</v>
      </c>
      <c r="AE8" s="7">
        <v>-1539.55</v>
      </c>
      <c r="AF8" s="7">
        <v>-112137.04</v>
      </c>
      <c r="AG8" s="7">
        <v>-4241.68</v>
      </c>
      <c r="AH8" s="7"/>
      <c r="AI8" s="10">
        <f t="shared" si="4"/>
        <v>-123728.74949104327</v>
      </c>
    </row>
    <row r="9" spans="1:35" x14ac:dyDescent="0.25">
      <c r="A9" s="22" t="s">
        <v>84</v>
      </c>
      <c r="B9" s="8">
        <f>333011.14+97145.07+39977.3</f>
        <v>470133.51</v>
      </c>
      <c r="C9" s="8">
        <f>294948.83+85970+35555.84</f>
        <v>416474.67000000004</v>
      </c>
      <c r="D9" s="8">
        <f>325687.99+96863.58+9818.64</f>
        <v>432370.21</v>
      </c>
      <c r="E9" s="8">
        <f>43620+614600.67</f>
        <v>658220.67000000004</v>
      </c>
      <c r="F9" s="8">
        <f>41952.17+588613.73</f>
        <v>630565.9</v>
      </c>
      <c r="G9" s="8">
        <f>5303.68+608665.43</f>
        <v>613969.1100000001</v>
      </c>
      <c r="H9" s="8">
        <v>703228.25</v>
      </c>
      <c r="I9" s="8">
        <v>682388.77</v>
      </c>
      <c r="J9" s="8">
        <v>635074.06000000006</v>
      </c>
      <c r="K9" s="30">
        <v>725319.92</v>
      </c>
      <c r="L9" s="30">
        <v>736219.77</v>
      </c>
      <c r="M9" s="8">
        <v>602192.78</v>
      </c>
      <c r="N9" s="8">
        <f t="shared" si="0"/>
        <v>2556902.35</v>
      </c>
      <c r="O9" s="8">
        <f t="shared" si="0"/>
        <v>2465649.1100000003</v>
      </c>
      <c r="P9" s="8">
        <f t="shared" si="0"/>
        <v>2283606.16</v>
      </c>
      <c r="Q9" s="7">
        <v>826342.25</v>
      </c>
      <c r="R9" s="7">
        <v>824078.71520959027</v>
      </c>
      <c r="S9" s="7">
        <v>367579.07</v>
      </c>
      <c r="T9" s="8">
        <f t="shared" si="1"/>
        <v>3383244.6</v>
      </c>
      <c r="U9" s="8">
        <f t="shared" si="1"/>
        <v>3289727.8252095906</v>
      </c>
      <c r="V9" s="8">
        <f t="shared" si="1"/>
        <v>2651185.23</v>
      </c>
      <c r="W9" s="7">
        <v>963936.96</v>
      </c>
      <c r="X9" s="7">
        <v>895461.18</v>
      </c>
      <c r="Y9" s="7">
        <v>864817.27</v>
      </c>
      <c r="Z9" s="8">
        <f t="shared" si="2"/>
        <v>4347181.5600000005</v>
      </c>
      <c r="AA9" s="8">
        <f t="shared" si="2"/>
        <v>4185189.0052095908</v>
      </c>
      <c r="AB9" s="8">
        <f t="shared" si="2"/>
        <v>3516002.5</v>
      </c>
      <c r="AC9" s="10">
        <f t="shared" si="3"/>
        <v>669186.50520959077</v>
      </c>
      <c r="AD9" s="25">
        <v>-32897.279999999999</v>
      </c>
      <c r="AE9" s="7">
        <v>-31980</v>
      </c>
      <c r="AF9" s="7"/>
      <c r="AG9" s="7">
        <v>-10700.79</v>
      </c>
      <c r="AH9" s="7">
        <f>-(624.23+1506)</f>
        <v>-2130.23</v>
      </c>
      <c r="AI9" s="10">
        <f t="shared" si="4"/>
        <v>591478.20520959073</v>
      </c>
    </row>
    <row r="10" spans="1:35" x14ac:dyDescent="0.25">
      <c r="A10" s="22" t="s">
        <v>85</v>
      </c>
      <c r="B10" s="8">
        <f>329686.46+97743.92+40059.07</f>
        <v>467489.45</v>
      </c>
      <c r="C10" s="8">
        <f>280606.82+83013.36+34022.79</f>
        <v>397642.97</v>
      </c>
      <c r="D10" s="8">
        <f>331638.62+96863.56+9838.9</f>
        <v>438341.08</v>
      </c>
      <c r="E10" s="8">
        <f>43689.1+615910.2</f>
        <v>659599.29999999993</v>
      </c>
      <c r="F10" s="8">
        <f>42505.41+593567.52</f>
        <v>636072.93000000005</v>
      </c>
      <c r="G10" s="8">
        <f>5314.62+614345.4</f>
        <v>619660.02</v>
      </c>
      <c r="H10" s="8">
        <v>677148.89</v>
      </c>
      <c r="I10" s="8">
        <v>652586.72</v>
      </c>
      <c r="J10" s="8">
        <v>647114.5</v>
      </c>
      <c r="K10" s="30">
        <v>697258.01</v>
      </c>
      <c r="L10" s="30">
        <v>681702.55</v>
      </c>
      <c r="M10" s="8">
        <v>606695.14</v>
      </c>
      <c r="N10" s="8">
        <f t="shared" si="0"/>
        <v>2501495.6500000004</v>
      </c>
      <c r="O10" s="8">
        <f t="shared" si="0"/>
        <v>2368005.17</v>
      </c>
      <c r="P10" s="8">
        <f t="shared" si="0"/>
        <v>2311810.7400000002</v>
      </c>
      <c r="Q10" s="7">
        <v>837514.67</v>
      </c>
      <c r="R10" s="7">
        <v>817307.32476726978</v>
      </c>
      <c r="S10" s="7">
        <v>343839.1</v>
      </c>
      <c r="T10" s="8">
        <f t="shared" si="1"/>
        <v>3339010.3200000003</v>
      </c>
      <c r="U10" s="8">
        <f t="shared" si="1"/>
        <v>3185312.4947672696</v>
      </c>
      <c r="V10" s="8">
        <f t="shared" si="1"/>
        <v>2655649.8400000003</v>
      </c>
      <c r="W10" s="7">
        <v>949982.54</v>
      </c>
      <c r="X10" s="7">
        <v>910374.31</v>
      </c>
      <c r="Y10" s="7">
        <v>926658.06</v>
      </c>
      <c r="Z10" s="8">
        <f t="shared" si="2"/>
        <v>4288992.8600000003</v>
      </c>
      <c r="AA10" s="8">
        <f t="shared" si="2"/>
        <v>4095686.8047672696</v>
      </c>
      <c r="AB10" s="8">
        <f t="shared" si="2"/>
        <v>3582307.9000000004</v>
      </c>
      <c r="AC10" s="10">
        <f t="shared" si="3"/>
        <v>513378.90476726927</v>
      </c>
      <c r="AD10" s="25">
        <v>-31853.119999999999</v>
      </c>
      <c r="AE10" s="7">
        <v>-14191.35</v>
      </c>
      <c r="AF10" s="7"/>
      <c r="AG10" s="7">
        <v>-10722.87</v>
      </c>
      <c r="AH10" s="7">
        <v>-5495.08</v>
      </c>
      <c r="AI10" s="10">
        <f t="shared" si="4"/>
        <v>451116.48476726928</v>
      </c>
    </row>
    <row r="11" spans="1:35" x14ac:dyDescent="0.25">
      <c r="A11" s="22" t="s">
        <v>86</v>
      </c>
      <c r="B11" s="8">
        <f>289342.79+116244.48+36213.1</f>
        <v>441800.36999999994</v>
      </c>
      <c r="C11" s="8">
        <f>251880.57+101228.32+31515.11</f>
        <v>384624</v>
      </c>
      <c r="D11" s="8">
        <f>287059.08+103582.05+8887.11</f>
        <v>399528.24</v>
      </c>
      <c r="E11" s="8">
        <f>39505.2+573401.76</f>
        <v>612906.96</v>
      </c>
      <c r="F11" s="8">
        <f>39241.28+565323.81</f>
        <v>604565.09000000008</v>
      </c>
      <c r="G11" s="8">
        <f>4800.5+550623.17</f>
        <v>555423.67000000004</v>
      </c>
      <c r="H11" s="8">
        <v>677586.15</v>
      </c>
      <c r="I11" s="8">
        <v>662770.38</v>
      </c>
      <c r="J11" s="8">
        <v>663944.27</v>
      </c>
      <c r="K11" s="30">
        <v>695201.64</v>
      </c>
      <c r="L11" s="30">
        <v>693057.99</v>
      </c>
      <c r="M11" s="8">
        <v>582372.78</v>
      </c>
      <c r="N11" s="8">
        <f t="shared" si="0"/>
        <v>2427495.12</v>
      </c>
      <c r="O11" s="8">
        <f t="shared" si="0"/>
        <v>2345017.46</v>
      </c>
      <c r="P11" s="8">
        <f t="shared" si="0"/>
        <v>2201268.96</v>
      </c>
      <c r="Q11" s="7">
        <v>757027</v>
      </c>
      <c r="R11" s="7">
        <v>748576.13403037924</v>
      </c>
      <c r="S11" s="7">
        <v>361587.1</v>
      </c>
      <c r="T11" s="8">
        <f t="shared" si="1"/>
        <v>3184522.12</v>
      </c>
      <c r="U11" s="8">
        <f t="shared" si="1"/>
        <v>3093593.5940303793</v>
      </c>
      <c r="V11" s="8">
        <f t="shared" si="1"/>
        <v>2562856.06</v>
      </c>
      <c r="W11" s="7">
        <v>914372.53</v>
      </c>
      <c r="X11" s="7">
        <v>908296.28</v>
      </c>
      <c r="Y11" s="7">
        <v>1146403.99</v>
      </c>
      <c r="Z11" s="8">
        <f t="shared" si="2"/>
        <v>4098894.6500000004</v>
      </c>
      <c r="AA11" s="8">
        <f t="shared" si="2"/>
        <v>4001889.8740303796</v>
      </c>
      <c r="AB11" s="8">
        <f t="shared" si="2"/>
        <v>3709260.05</v>
      </c>
      <c r="AC11" s="10">
        <f t="shared" si="3"/>
        <v>292629.82403037976</v>
      </c>
      <c r="AD11" s="25">
        <v>-30935.94</v>
      </c>
      <c r="AE11" s="7"/>
      <c r="AF11" s="7"/>
      <c r="AG11" s="7">
        <v>-9685.56</v>
      </c>
      <c r="AH11" s="7">
        <v>-1599.7</v>
      </c>
      <c r="AI11" s="10">
        <f t="shared" si="4"/>
        <v>250408.62403037975</v>
      </c>
    </row>
    <row r="12" spans="1:35" x14ac:dyDescent="0.25">
      <c r="A12" s="22" t="s">
        <v>87</v>
      </c>
      <c r="B12" s="7">
        <f>338137.08+128370.56+40495.26</f>
        <v>507002.9</v>
      </c>
      <c r="C12" s="7">
        <f>300859.27+114218.35+36229.61</f>
        <v>451307.23</v>
      </c>
      <c r="D12" s="7">
        <f>346657.09+101240.72+9946.43</f>
        <v>457844.24000000005</v>
      </c>
      <c r="E12" s="7">
        <f>44176.08+655675.04</f>
        <v>699851.12</v>
      </c>
      <c r="F12" s="7">
        <f>43655.76+646895.3</f>
        <v>690551.06</v>
      </c>
      <c r="G12" s="7">
        <f>5372.71+645242.01</f>
        <v>650614.72</v>
      </c>
      <c r="H12" s="7">
        <v>712584.53</v>
      </c>
      <c r="I12" s="7">
        <v>672706.86</v>
      </c>
      <c r="J12" s="7">
        <v>697779.06</v>
      </c>
      <c r="K12" s="30">
        <v>733111.74</v>
      </c>
      <c r="L12" s="30">
        <v>709764.25</v>
      </c>
      <c r="M12" s="7">
        <v>660369.14</v>
      </c>
      <c r="N12" s="8">
        <f t="shared" si="0"/>
        <v>2652550.29</v>
      </c>
      <c r="O12" s="8">
        <f t="shared" si="0"/>
        <v>2524329.4</v>
      </c>
      <c r="P12" s="8">
        <f t="shared" si="0"/>
        <v>2466607.16</v>
      </c>
      <c r="Q12" s="7">
        <v>843532.6</v>
      </c>
      <c r="R12" s="7">
        <v>822128.99685317301</v>
      </c>
      <c r="S12" s="7">
        <v>885587.81</v>
      </c>
      <c r="T12" s="8">
        <f t="shared" si="1"/>
        <v>3496082.89</v>
      </c>
      <c r="U12" s="8">
        <f t="shared" si="1"/>
        <v>3346458.3968531732</v>
      </c>
      <c r="V12" s="8">
        <f t="shared" si="1"/>
        <v>3352194.97</v>
      </c>
      <c r="W12" s="7">
        <v>959116.97</v>
      </c>
      <c r="X12" s="7">
        <v>959823.48</v>
      </c>
      <c r="Y12" s="7">
        <v>780644.46</v>
      </c>
      <c r="Z12" s="8">
        <f t="shared" si="2"/>
        <v>4455199.8600000003</v>
      </c>
      <c r="AA12" s="8">
        <f t="shared" si="2"/>
        <v>4306281.8768531736</v>
      </c>
      <c r="AB12" s="8">
        <f t="shared" si="2"/>
        <v>4132839.43</v>
      </c>
      <c r="AC12" s="10">
        <f t="shared" si="3"/>
        <v>173442.44685317343</v>
      </c>
      <c r="AD12" s="25">
        <v>-33464.58</v>
      </c>
      <c r="AE12" s="7"/>
      <c r="AF12" s="7"/>
      <c r="AG12" s="7">
        <v>-10840.06</v>
      </c>
      <c r="AH12" s="7">
        <v>-4119.75</v>
      </c>
      <c r="AI12" s="10">
        <f t="shared" si="4"/>
        <v>125018.05685317342</v>
      </c>
    </row>
    <row r="13" spans="1:35" x14ac:dyDescent="0.25">
      <c r="A13" s="22" t="s">
        <v>88</v>
      </c>
      <c r="B13" s="7"/>
      <c r="C13" s="7"/>
      <c r="D13" s="7"/>
      <c r="E13" s="7"/>
      <c r="F13" s="7"/>
      <c r="G13" s="7"/>
      <c r="H13" s="7">
        <v>950936.79</v>
      </c>
      <c r="I13" s="7">
        <v>448939.5</v>
      </c>
      <c r="J13" s="7">
        <v>611735.9</v>
      </c>
      <c r="K13" s="31">
        <v>950917.44</v>
      </c>
      <c r="L13" s="31">
        <v>679851.13</v>
      </c>
      <c r="M13" s="7">
        <v>583798.92000000004</v>
      </c>
      <c r="N13" s="8">
        <f t="shared" si="0"/>
        <v>1901854.23</v>
      </c>
      <c r="O13" s="8">
        <f t="shared" si="0"/>
        <v>1128790.6299999999</v>
      </c>
      <c r="P13" s="8">
        <f t="shared" si="0"/>
        <v>1195534.82</v>
      </c>
      <c r="Q13" s="7">
        <v>0</v>
      </c>
      <c r="R13" s="7">
        <v>0</v>
      </c>
      <c r="S13" s="7">
        <v>0</v>
      </c>
      <c r="T13" s="8">
        <f t="shared" si="1"/>
        <v>1901854.23</v>
      </c>
      <c r="U13" s="8">
        <f t="shared" si="1"/>
        <v>1128790.6299999999</v>
      </c>
      <c r="V13" s="8">
        <f t="shared" si="1"/>
        <v>1195534.82</v>
      </c>
      <c r="W13" s="7">
        <v>1169397.96</v>
      </c>
      <c r="X13" s="7">
        <v>694430.78</v>
      </c>
      <c r="Y13" s="7">
        <v>593807.62</v>
      </c>
      <c r="Z13" s="8">
        <f t="shared" si="2"/>
        <v>3071252.19</v>
      </c>
      <c r="AA13" s="8">
        <f t="shared" si="2"/>
        <v>1823221.41</v>
      </c>
      <c r="AB13" s="8">
        <f t="shared" si="2"/>
        <v>1789342.44</v>
      </c>
      <c r="AC13" s="10">
        <f t="shared" si="3"/>
        <v>33878.969999999972</v>
      </c>
      <c r="AD13" s="25">
        <v>-11287.91</v>
      </c>
      <c r="AE13" s="7"/>
      <c r="AF13" s="7"/>
      <c r="AG13" s="7">
        <v>-4734.9799999999996</v>
      </c>
      <c r="AH13" s="7"/>
      <c r="AI13" s="10">
        <f t="shared" si="4"/>
        <v>17856.079999999973</v>
      </c>
    </row>
    <row r="14" spans="1:35" x14ac:dyDescent="0.25">
      <c r="A14" s="32" t="s">
        <v>89</v>
      </c>
      <c r="B14" s="7"/>
      <c r="C14" s="7"/>
      <c r="D14" s="7"/>
      <c r="E14" s="7"/>
      <c r="F14" s="7"/>
      <c r="G14" s="7"/>
      <c r="H14" s="7">
        <v>62614.559999999998</v>
      </c>
      <c r="I14" s="7"/>
      <c r="J14" s="7">
        <v>201890.2</v>
      </c>
      <c r="K14" s="31">
        <v>763712.07</v>
      </c>
      <c r="L14" s="31">
        <v>720516.19</v>
      </c>
      <c r="M14" s="7">
        <v>950891.02</v>
      </c>
      <c r="N14" s="8">
        <f t="shared" si="0"/>
        <v>826326.62999999989</v>
      </c>
      <c r="O14" s="8">
        <f t="shared" si="0"/>
        <v>720516.19</v>
      </c>
      <c r="P14" s="8">
        <f t="shared" si="0"/>
        <v>1152781.22</v>
      </c>
      <c r="Q14" s="7">
        <v>119792.40000000001</v>
      </c>
      <c r="R14" s="7">
        <v>107548.8</v>
      </c>
      <c r="S14" s="7">
        <v>29871.53</v>
      </c>
      <c r="T14" s="8">
        <f t="shared" si="1"/>
        <v>946119.02999999991</v>
      </c>
      <c r="U14" s="8">
        <f t="shared" si="1"/>
        <v>828064.99</v>
      </c>
      <c r="V14" s="8">
        <f t="shared" si="1"/>
        <v>1182652.75</v>
      </c>
      <c r="W14" s="7">
        <v>884368.01</v>
      </c>
      <c r="X14" s="7">
        <v>847249.84</v>
      </c>
      <c r="Y14" s="7">
        <v>942191.11</v>
      </c>
      <c r="Z14" s="8">
        <f t="shared" si="2"/>
        <v>1830487.04</v>
      </c>
      <c r="AA14" s="8">
        <f t="shared" si="2"/>
        <v>1675314.83</v>
      </c>
      <c r="AB14" s="8">
        <f t="shared" si="2"/>
        <v>2124843.86</v>
      </c>
      <c r="AC14" s="10">
        <f t="shared" si="3"/>
        <v>-449529.0299999998</v>
      </c>
      <c r="AD14" s="25">
        <v>-8280.65</v>
      </c>
      <c r="AE14" s="7"/>
      <c r="AF14" s="7">
        <v>-11347.26</v>
      </c>
      <c r="AG14" s="25">
        <v>-3009</v>
      </c>
      <c r="AH14" s="7">
        <v>-476</v>
      </c>
      <c r="AI14" s="10">
        <f t="shared" si="4"/>
        <v>-472641.93999999983</v>
      </c>
    </row>
    <row r="15" spans="1:35" x14ac:dyDescent="0.25">
      <c r="A15" s="33" t="s">
        <v>43</v>
      </c>
      <c r="B15" s="8">
        <f>SUM(B6:B14)</f>
        <v>2708242.81</v>
      </c>
      <c r="C15" s="8">
        <f t="shared" ref="C15:M15" si="5">SUM(C6:C14)</f>
        <v>2352130.8499999996</v>
      </c>
      <c r="D15" s="8">
        <f t="shared" si="5"/>
        <v>2472331.3400000003</v>
      </c>
      <c r="E15" s="8">
        <f t="shared" si="5"/>
        <v>3759583.3</v>
      </c>
      <c r="F15" s="8">
        <f t="shared" si="5"/>
        <v>3655677.4500000007</v>
      </c>
      <c r="G15" s="8">
        <f t="shared" si="5"/>
        <v>3479851.1399999997</v>
      </c>
      <c r="H15" s="8">
        <f t="shared" si="5"/>
        <v>4996940.51</v>
      </c>
      <c r="I15" s="8">
        <f t="shared" si="5"/>
        <v>4246464.6809999999</v>
      </c>
      <c r="J15" s="8">
        <f t="shared" si="5"/>
        <v>4615604.5200000005</v>
      </c>
      <c r="K15" s="8">
        <f t="shared" si="5"/>
        <v>5844100.9199999999</v>
      </c>
      <c r="L15" s="8">
        <f t="shared" si="5"/>
        <v>5469604.8699999992</v>
      </c>
      <c r="M15" s="8">
        <f t="shared" si="5"/>
        <v>5096805.45</v>
      </c>
      <c r="N15" s="8">
        <f t="shared" si="0"/>
        <v>17308867.539999999</v>
      </c>
      <c r="O15" s="8">
        <f t="shared" si="0"/>
        <v>15723877.851</v>
      </c>
      <c r="P15" s="8">
        <f t="shared" si="0"/>
        <v>15664592.449999999</v>
      </c>
      <c r="Q15" s="7">
        <v>4800954.67</v>
      </c>
      <c r="R15" s="7">
        <v>4694830.6296006395</v>
      </c>
      <c r="S15" s="7">
        <f>SUM(S6:S14)</f>
        <v>3327809.11</v>
      </c>
      <c r="T15" s="8">
        <f t="shared" si="1"/>
        <v>22109822.210000001</v>
      </c>
      <c r="U15" s="8">
        <f t="shared" si="1"/>
        <v>20418708.48060064</v>
      </c>
      <c r="V15" s="8">
        <f t="shared" si="1"/>
        <v>18992401.559999999</v>
      </c>
      <c r="W15" s="7">
        <f>SUM(W6:W14)</f>
        <v>7530107.3299999991</v>
      </c>
      <c r="X15" s="7">
        <f>SUM(X6:X14)</f>
        <v>6940069.5900000008</v>
      </c>
      <c r="Y15" s="7">
        <f>SUM(Y6:Y14)</f>
        <v>6624513.04</v>
      </c>
      <c r="Z15" s="8">
        <f t="shared" ref="Z15:AC15" si="6">SUM(Z6:Z14)</f>
        <v>29639929.540000003</v>
      </c>
      <c r="AA15" s="8">
        <f t="shared" si="6"/>
        <v>27358778.070600644</v>
      </c>
      <c r="AB15" s="8">
        <f t="shared" si="6"/>
        <v>25616914.600000001</v>
      </c>
      <c r="AC15" s="10">
        <f t="shared" si="6"/>
        <v>1741863.4706006409</v>
      </c>
      <c r="AD15" s="25">
        <f>SUM(AD6:AD14)</f>
        <v>-204187.08999999997</v>
      </c>
      <c r="AE15" s="25">
        <f t="shared" ref="AE15:AH15" si="7">SUM(AE6:AE14)</f>
        <v>-97049.080000000016</v>
      </c>
      <c r="AF15" s="25">
        <f t="shared" si="7"/>
        <v>-123484.29999999999</v>
      </c>
      <c r="AG15" s="25">
        <f t="shared" si="7"/>
        <v>-67862.19</v>
      </c>
      <c r="AH15" s="25">
        <f t="shared" si="7"/>
        <v>-25466.600000000002</v>
      </c>
      <c r="AI15" s="10">
        <f>SUM(AI6:AI14)</f>
        <v>1223814.2106006411</v>
      </c>
    </row>
    <row r="17" spans="1:26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</sheetData>
  <mergeCells count="18">
    <mergeCell ref="AG4:AG5"/>
    <mergeCell ref="AH4:AH5"/>
    <mergeCell ref="AI3:AI5"/>
    <mergeCell ref="A4:A5"/>
    <mergeCell ref="B4:D4"/>
    <mergeCell ref="E4:G4"/>
    <mergeCell ref="H4:J4"/>
    <mergeCell ref="K4:M4"/>
    <mergeCell ref="AC3:AC5"/>
    <mergeCell ref="AD3:AH3"/>
    <mergeCell ref="AD4:AD5"/>
    <mergeCell ref="N4:P4"/>
    <mergeCell ref="Q4:S4"/>
    <mergeCell ref="T4:V4"/>
    <mergeCell ref="W4:Y4"/>
    <mergeCell ref="Z3:AB4"/>
    <mergeCell ref="AE4:AE5"/>
    <mergeCell ref="AF4:A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42"/>
  <sheetViews>
    <sheetView topLeftCell="A19" workbookViewId="0">
      <selection activeCell="AK7" sqref="AK7"/>
    </sheetView>
  </sheetViews>
  <sheetFormatPr defaultRowHeight="15.75" x14ac:dyDescent="0.25"/>
  <cols>
    <col min="1" max="1" width="21.875" style="6" customWidth="1"/>
    <col min="2" max="2" width="14.375" style="6" customWidth="1"/>
    <col min="3" max="3" width="14.625" style="6" customWidth="1"/>
    <col min="4" max="4" width="11.625" style="6" customWidth="1"/>
    <col min="5" max="5" width="13.5" style="6" customWidth="1"/>
    <col min="6" max="6" width="12.375" style="6" customWidth="1"/>
    <col min="7" max="7" width="12.25" style="6" customWidth="1"/>
    <col min="8" max="8" width="12.375" style="6" customWidth="1"/>
    <col min="9" max="9" width="12.25" style="6" customWidth="1"/>
    <col min="10" max="10" width="12.375" style="6" customWidth="1"/>
    <col min="11" max="11" width="11.875" style="6" customWidth="1"/>
    <col min="12" max="12" width="12.375" style="6" customWidth="1"/>
    <col min="13" max="13" width="13.5" style="6" customWidth="1"/>
    <col min="14" max="14" width="13.375" style="6" customWidth="1"/>
    <col min="15" max="15" width="11.875" style="6" customWidth="1"/>
    <col min="16" max="16" width="11.625" style="6" customWidth="1"/>
    <col min="17" max="17" width="12.5" style="6" customWidth="1"/>
    <col min="18" max="18" width="12.625" style="6" customWidth="1"/>
    <col min="19" max="19" width="12" style="6" customWidth="1"/>
    <col min="20" max="20" width="9.625" style="6" customWidth="1"/>
    <col min="21" max="21" width="11.75" style="6" customWidth="1"/>
    <col min="22" max="22" width="12.75" style="6" customWidth="1"/>
    <col min="23" max="23" width="14.75" style="6" customWidth="1"/>
    <col min="24" max="24" width="12.875" style="6" customWidth="1"/>
    <col min="25" max="25" width="13.25" style="6" customWidth="1"/>
    <col min="26" max="26" width="14.375" style="6" customWidth="1"/>
    <col min="27" max="27" width="11.875" style="6" customWidth="1"/>
    <col min="28" max="28" width="9.625" style="6" customWidth="1"/>
    <col min="29" max="29" width="12.125" style="6" customWidth="1"/>
    <col min="30" max="30" width="9.5" style="6" customWidth="1"/>
    <col min="31" max="31" width="13" style="6" customWidth="1"/>
    <col min="32" max="32" width="11.875" style="6" customWidth="1"/>
    <col min="33" max="34" width="10.625" style="6" customWidth="1"/>
    <col min="35" max="35" width="10.75" style="6" customWidth="1"/>
    <col min="36" max="16384" width="9" style="6"/>
  </cols>
  <sheetData>
    <row r="2" spans="1:38" x14ac:dyDescent="0.25">
      <c r="AA2" s="26"/>
      <c r="AB2" s="26"/>
    </row>
    <row r="3" spans="1:38" ht="19.5" x14ac:dyDescent="0.35">
      <c r="B3" s="6" t="s">
        <v>131</v>
      </c>
      <c r="AA3" s="14" t="s">
        <v>259</v>
      </c>
    </row>
    <row r="4" spans="1:38" ht="19.5" x14ac:dyDescent="0.25">
      <c r="A4" s="50" t="s">
        <v>108</v>
      </c>
      <c r="B4" s="157" t="s">
        <v>1</v>
      </c>
      <c r="C4" s="158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132" t="s">
        <v>278</v>
      </c>
      <c r="X4" s="132"/>
      <c r="Y4" s="132"/>
      <c r="Z4" s="138" t="s">
        <v>279</v>
      </c>
      <c r="AA4" s="149" t="s">
        <v>50</v>
      </c>
      <c r="AB4" s="149"/>
      <c r="AC4" s="149"/>
      <c r="AD4" s="149"/>
      <c r="AE4" s="149"/>
      <c r="AF4" s="149"/>
      <c r="AG4" s="149"/>
      <c r="AH4" s="149"/>
      <c r="AI4" s="143" t="s">
        <v>91</v>
      </c>
      <c r="AJ4" s="51"/>
      <c r="AK4" s="51"/>
      <c r="AL4" s="51"/>
    </row>
    <row r="5" spans="1:38" ht="41.25" customHeight="1" x14ac:dyDescent="0.25">
      <c r="A5" s="153" t="s">
        <v>44</v>
      </c>
      <c r="B5" s="132" t="s">
        <v>268</v>
      </c>
      <c r="C5" s="132"/>
      <c r="D5" s="132"/>
      <c r="E5" s="132" t="s">
        <v>269</v>
      </c>
      <c r="F5" s="132"/>
      <c r="G5" s="132"/>
      <c r="H5" s="132" t="s">
        <v>270</v>
      </c>
      <c r="I5" s="132"/>
      <c r="J5" s="132"/>
      <c r="K5" s="146" t="s">
        <v>271</v>
      </c>
      <c r="L5" s="147"/>
      <c r="M5" s="148"/>
      <c r="N5" s="146" t="s">
        <v>276</v>
      </c>
      <c r="O5" s="147"/>
      <c r="P5" s="148"/>
      <c r="Q5" s="137" t="s">
        <v>277</v>
      </c>
      <c r="R5" s="155"/>
      <c r="S5" s="156"/>
      <c r="T5" s="132" t="s">
        <v>69</v>
      </c>
      <c r="U5" s="132"/>
      <c r="V5" s="146"/>
      <c r="W5" s="132"/>
      <c r="X5" s="132"/>
      <c r="Y5" s="132"/>
      <c r="Z5" s="151"/>
      <c r="AA5" s="143" t="s">
        <v>263</v>
      </c>
      <c r="AB5" s="136" t="s">
        <v>258</v>
      </c>
      <c r="AC5" s="136" t="s">
        <v>4</v>
      </c>
      <c r="AD5" s="136" t="s">
        <v>4</v>
      </c>
      <c r="AE5" s="136" t="s">
        <v>5</v>
      </c>
      <c r="AF5" s="136" t="s">
        <v>46</v>
      </c>
      <c r="AG5" s="149" t="s">
        <v>6</v>
      </c>
      <c r="AH5" s="143" t="s">
        <v>280</v>
      </c>
      <c r="AI5" s="143"/>
      <c r="AJ5" s="51"/>
      <c r="AK5" s="51"/>
      <c r="AL5" s="51"/>
    </row>
    <row r="6" spans="1:38" ht="120.75" customHeight="1" x14ac:dyDescent="0.25">
      <c r="A6" s="154"/>
      <c r="B6" s="17" t="s">
        <v>8</v>
      </c>
      <c r="C6" s="17" t="s">
        <v>9</v>
      </c>
      <c r="D6" s="38" t="s">
        <v>10</v>
      </c>
      <c r="E6" s="17" t="s">
        <v>8</v>
      </c>
      <c r="F6" s="17" t="s">
        <v>9</v>
      </c>
      <c r="G6" s="17" t="s">
        <v>10</v>
      </c>
      <c r="H6" s="17" t="s">
        <v>8</v>
      </c>
      <c r="I6" s="17" t="s">
        <v>9</v>
      </c>
      <c r="J6" s="17" t="s">
        <v>10</v>
      </c>
      <c r="K6" s="17" t="s">
        <v>8</v>
      </c>
      <c r="L6" s="17" t="s">
        <v>9</v>
      </c>
      <c r="M6" s="17" t="s">
        <v>10</v>
      </c>
      <c r="N6" s="17" t="s">
        <v>8</v>
      </c>
      <c r="O6" s="17" t="s">
        <v>9</v>
      </c>
      <c r="P6" s="17" t="s">
        <v>10</v>
      </c>
      <c r="Q6" s="17" t="s">
        <v>8</v>
      </c>
      <c r="R6" s="17" t="s">
        <v>9</v>
      </c>
      <c r="S6" s="17" t="s">
        <v>10</v>
      </c>
      <c r="T6" s="17" t="s">
        <v>8</v>
      </c>
      <c r="U6" s="17" t="s">
        <v>9</v>
      </c>
      <c r="V6" s="17" t="s">
        <v>10</v>
      </c>
      <c r="W6" s="17" t="s">
        <v>8</v>
      </c>
      <c r="X6" s="17" t="s">
        <v>9</v>
      </c>
      <c r="Y6" s="52" t="s">
        <v>10</v>
      </c>
      <c r="Z6" s="152"/>
      <c r="AA6" s="143"/>
      <c r="AB6" s="136"/>
      <c r="AC6" s="136"/>
      <c r="AD6" s="136"/>
      <c r="AE6" s="136"/>
      <c r="AF6" s="136"/>
      <c r="AG6" s="149"/>
      <c r="AH6" s="143"/>
      <c r="AI6" s="143"/>
      <c r="AJ6" s="51"/>
      <c r="AK6" s="51"/>
      <c r="AL6" s="51"/>
    </row>
    <row r="7" spans="1:38" ht="18.75" x14ac:dyDescent="0.25">
      <c r="A7" s="18" t="s">
        <v>109</v>
      </c>
      <c r="B7" s="45">
        <v>3251.6</v>
      </c>
      <c r="C7" s="46">
        <v>2956</v>
      </c>
      <c r="D7" s="46">
        <v>1862.701815184007</v>
      </c>
      <c r="E7" s="8">
        <v>4476.8999999999996</v>
      </c>
      <c r="F7" s="8">
        <v>4457.3500000000004</v>
      </c>
      <c r="G7" s="8">
        <v>2941.43</v>
      </c>
      <c r="H7" s="8">
        <v>4594.2</v>
      </c>
      <c r="I7" s="8">
        <v>4594.2</v>
      </c>
      <c r="J7" s="8">
        <v>5143.1499999999996</v>
      </c>
      <c r="K7" s="8">
        <v>4669.25</v>
      </c>
      <c r="L7" s="8">
        <v>4654.24</v>
      </c>
      <c r="M7" s="8">
        <v>2324.4100000000003</v>
      </c>
      <c r="N7" s="8">
        <f>B7+E7+H7+K7</f>
        <v>16991.95</v>
      </c>
      <c r="O7" s="8">
        <f>C7+F7+I7+L7</f>
        <v>16661.79</v>
      </c>
      <c r="P7" s="8">
        <f>D7+G7+J7+M7</f>
        <v>12271.691815184007</v>
      </c>
      <c r="Q7" s="7"/>
      <c r="R7" s="7"/>
      <c r="S7" s="7"/>
      <c r="T7" s="7">
        <v>4774.32</v>
      </c>
      <c r="U7" s="7">
        <v>4774.32</v>
      </c>
      <c r="V7" s="7">
        <v>1803.36</v>
      </c>
      <c r="W7" s="8">
        <f>N7+Q7+T7</f>
        <v>21766.27</v>
      </c>
      <c r="X7" s="8">
        <f>O7+R7+U7</f>
        <v>21436.11</v>
      </c>
      <c r="Y7" s="8">
        <f>P7+S7+V7</f>
        <v>14075.051815184008</v>
      </c>
      <c r="Z7" s="10">
        <f>X7-Y7</f>
        <v>7361.0581848159927</v>
      </c>
      <c r="AA7" s="25">
        <v>-166.62</v>
      </c>
      <c r="AB7" s="7"/>
      <c r="AC7" s="7"/>
      <c r="AD7" s="7"/>
      <c r="AE7" s="7"/>
      <c r="AF7" s="7">
        <f>AB7+AC7+AD7+AE7</f>
        <v>0</v>
      </c>
      <c r="AG7" s="7"/>
      <c r="AH7" s="7">
        <v>-96.4</v>
      </c>
      <c r="AI7" s="10">
        <f>Z7+AA7+AF7+AG7+AH7</f>
        <v>7098.0381848159932</v>
      </c>
    </row>
    <row r="8" spans="1:38" ht="18.75" x14ac:dyDescent="0.3">
      <c r="A8" s="19" t="s">
        <v>110</v>
      </c>
      <c r="B8" s="45">
        <v>6764.23</v>
      </c>
      <c r="C8" s="46">
        <v>3066.07</v>
      </c>
      <c r="D8" s="46">
        <v>3874.9007058780248</v>
      </c>
      <c r="E8" s="8">
        <v>9313.26</v>
      </c>
      <c r="F8" s="8">
        <v>7851.73</v>
      </c>
      <c r="G8" s="8">
        <v>6118.86</v>
      </c>
      <c r="H8" s="8">
        <v>9557.16</v>
      </c>
      <c r="I8" s="8">
        <v>6604.1</v>
      </c>
      <c r="J8" s="8">
        <v>10698.99</v>
      </c>
      <c r="K8" s="8">
        <v>9557.16</v>
      </c>
      <c r="L8" s="8">
        <v>6892.17</v>
      </c>
      <c r="M8" s="8">
        <v>4832.24</v>
      </c>
      <c r="N8" s="8">
        <f t="shared" ref="N8:P41" si="0">B8+E8+H8+K8</f>
        <v>35191.81</v>
      </c>
      <c r="O8" s="8">
        <f t="shared" si="0"/>
        <v>24414.07</v>
      </c>
      <c r="P8" s="8">
        <f t="shared" si="0"/>
        <v>25524.990705878023</v>
      </c>
      <c r="Q8" s="7"/>
      <c r="R8" s="7"/>
      <c r="S8" s="7"/>
      <c r="T8" s="7">
        <v>9570.32</v>
      </c>
      <c r="U8" s="7">
        <v>19786.32</v>
      </c>
      <c r="V8" s="7">
        <v>4090.51</v>
      </c>
      <c r="W8" s="8">
        <f t="shared" ref="W8:Y41" si="1">N8+Q8+T8</f>
        <v>44762.13</v>
      </c>
      <c r="X8" s="8">
        <f t="shared" si="1"/>
        <v>44200.39</v>
      </c>
      <c r="Y8" s="8">
        <f t="shared" si="1"/>
        <v>29615.500705878025</v>
      </c>
      <c r="Z8" s="10">
        <f t="shared" ref="Z8:Z41" si="2">X8-Y8</f>
        <v>14584.889294121975</v>
      </c>
      <c r="AA8" s="25">
        <v>-244.14</v>
      </c>
      <c r="AB8" s="7"/>
      <c r="AC8" s="7">
        <v>-2885.13</v>
      </c>
      <c r="AD8" s="7">
        <v>-7211.29</v>
      </c>
      <c r="AE8" s="7">
        <v>-3007.35</v>
      </c>
      <c r="AF8" s="7">
        <f t="shared" ref="AF8:AF42" si="3">AB8+AC8+AD8+AE8</f>
        <v>-13103.77</v>
      </c>
      <c r="AG8" s="7"/>
      <c r="AH8" s="7">
        <v>-200.53</v>
      </c>
      <c r="AI8" s="10">
        <f t="shared" ref="AI8:AI41" si="4">Z8+AA8+AF8+AG8+AH8</f>
        <v>1036.4492941219748</v>
      </c>
    </row>
    <row r="9" spans="1:38" ht="18.75" x14ac:dyDescent="0.3">
      <c r="A9" s="43" t="s">
        <v>111</v>
      </c>
      <c r="B9" s="45">
        <v>3754.74</v>
      </c>
      <c r="C9" s="46">
        <v>3754.74</v>
      </c>
      <c r="D9" s="46">
        <v>2995.9300883889427</v>
      </c>
      <c r="E9" s="8">
        <v>644.26</v>
      </c>
      <c r="F9" s="8">
        <v>419.52</v>
      </c>
      <c r="G9" s="8">
        <v>6742.54</v>
      </c>
      <c r="H9" s="8"/>
      <c r="I9" s="8"/>
      <c r="J9" s="8"/>
      <c r="K9" s="8">
        <v>0</v>
      </c>
      <c r="L9" s="8">
        <v>224.74</v>
      </c>
      <c r="M9" s="8">
        <v>0</v>
      </c>
      <c r="N9" s="8">
        <f t="shared" si="0"/>
        <v>4399</v>
      </c>
      <c r="O9" s="8">
        <f t="shared" si="0"/>
        <v>4399</v>
      </c>
      <c r="P9" s="8">
        <f t="shared" si="0"/>
        <v>9738.4700883889418</v>
      </c>
      <c r="Q9" s="7"/>
      <c r="R9" s="7"/>
      <c r="S9" s="7"/>
      <c r="T9" s="7"/>
      <c r="U9" s="7"/>
      <c r="V9" s="7"/>
      <c r="W9" s="8">
        <f t="shared" si="1"/>
        <v>4399</v>
      </c>
      <c r="X9" s="8">
        <f t="shared" si="1"/>
        <v>4399</v>
      </c>
      <c r="Y9" s="8">
        <f t="shared" si="1"/>
        <v>9738.4700883889418</v>
      </c>
      <c r="Z9" s="10">
        <f t="shared" si="2"/>
        <v>-5339.4700883889418</v>
      </c>
      <c r="AA9" s="25">
        <v>-43.99</v>
      </c>
      <c r="AB9" s="7">
        <v>-794.87</v>
      </c>
      <c r="AC9" s="7"/>
      <c r="AD9" s="7"/>
      <c r="AE9" s="7"/>
      <c r="AF9" s="7">
        <f t="shared" si="3"/>
        <v>-794.87</v>
      </c>
      <c r="AG9" s="7"/>
      <c r="AH9" s="7">
        <v>-168.73</v>
      </c>
      <c r="AI9" s="10">
        <f t="shared" si="4"/>
        <v>-6347.060088388941</v>
      </c>
    </row>
    <row r="10" spans="1:38" ht="18.75" x14ac:dyDescent="0.3">
      <c r="A10" s="43" t="s">
        <v>112</v>
      </c>
      <c r="B10" s="45">
        <v>9698.15</v>
      </c>
      <c r="C10" s="46">
        <v>7934.85</v>
      </c>
      <c r="D10" s="46">
        <v>5777.1861961022732</v>
      </c>
      <c r="F10" s="8"/>
      <c r="H10" s="8"/>
      <c r="I10" s="8"/>
      <c r="J10" s="8"/>
      <c r="K10" s="8">
        <v>0</v>
      </c>
      <c r="L10" s="8">
        <v>0</v>
      </c>
      <c r="M10" s="8">
        <v>0</v>
      </c>
      <c r="N10" s="8">
        <f t="shared" si="0"/>
        <v>9698.15</v>
      </c>
      <c r="O10" s="8">
        <f t="shared" si="0"/>
        <v>7934.85</v>
      </c>
      <c r="P10" s="8">
        <f t="shared" si="0"/>
        <v>5777.1861961022732</v>
      </c>
      <c r="Q10" s="7"/>
      <c r="R10" s="7"/>
      <c r="S10" s="7"/>
      <c r="T10" s="7"/>
      <c r="U10" s="7"/>
      <c r="V10" s="7"/>
      <c r="W10" s="8">
        <f t="shared" si="1"/>
        <v>9698.15</v>
      </c>
      <c r="X10" s="8">
        <f t="shared" si="1"/>
        <v>7934.85</v>
      </c>
      <c r="Y10" s="8">
        <f t="shared" si="1"/>
        <v>5777.1861961022732</v>
      </c>
      <c r="Z10" s="10">
        <f t="shared" si="2"/>
        <v>2157.6638038977271</v>
      </c>
      <c r="AA10" s="25">
        <f t="shared" ref="AA10:AA41" si="5">-X10*0.01</f>
        <v>-79.348500000000001</v>
      </c>
      <c r="AB10" s="7"/>
      <c r="AC10" s="7"/>
      <c r="AD10" s="7"/>
      <c r="AE10" s="7"/>
      <c r="AF10" s="7">
        <f t="shared" si="3"/>
        <v>0</v>
      </c>
      <c r="AG10" s="7"/>
      <c r="AH10" s="7">
        <v>-74.08</v>
      </c>
      <c r="AI10" s="10">
        <f t="shared" si="4"/>
        <v>2004.2353038977271</v>
      </c>
    </row>
    <row r="11" spans="1:38" ht="18.75" x14ac:dyDescent="0.3">
      <c r="A11" s="19" t="s">
        <v>113</v>
      </c>
      <c r="B11" s="46">
        <v>3328.72</v>
      </c>
      <c r="C11" s="46">
        <v>2912.63</v>
      </c>
      <c r="D11" s="46">
        <v>2163.8361243028457</v>
      </c>
      <c r="E11" s="8">
        <v>6306.42</v>
      </c>
      <c r="F11" s="8">
        <v>6278.81</v>
      </c>
      <c r="G11" s="8">
        <v>4028.67</v>
      </c>
      <c r="H11" s="8">
        <v>6472.08</v>
      </c>
      <c r="I11" s="8">
        <v>6472.08</v>
      </c>
      <c r="J11" s="8">
        <v>7075.83</v>
      </c>
      <c r="K11" s="8">
        <v>6578.08</v>
      </c>
      <c r="L11" s="8">
        <v>6556.88</v>
      </c>
      <c r="M11" s="8">
        <v>3281.44</v>
      </c>
      <c r="N11" s="8">
        <f t="shared" si="0"/>
        <v>22685.3</v>
      </c>
      <c r="O11" s="8">
        <f t="shared" si="0"/>
        <v>22220.400000000001</v>
      </c>
      <c r="P11" s="8">
        <f t="shared" si="0"/>
        <v>16549.776124302844</v>
      </c>
      <c r="Q11" s="7"/>
      <c r="R11" s="7"/>
      <c r="S11" s="7"/>
      <c r="T11" s="7">
        <v>6726.48</v>
      </c>
      <c r="U11" s="7">
        <v>6726.48</v>
      </c>
      <c r="V11" s="7">
        <v>2547.0500000000002</v>
      </c>
      <c r="W11" s="8">
        <f t="shared" si="1"/>
        <v>29411.78</v>
      </c>
      <c r="X11" s="8">
        <f t="shared" si="1"/>
        <v>28946.880000000001</v>
      </c>
      <c r="Y11" s="8">
        <f t="shared" si="1"/>
        <v>19096.826124302843</v>
      </c>
      <c r="Z11" s="10">
        <f t="shared" si="2"/>
        <v>9850.0538756971582</v>
      </c>
      <c r="AA11" s="25">
        <v>-222.2</v>
      </c>
      <c r="AB11" s="7"/>
      <c r="AC11" s="7"/>
      <c r="AD11" s="7"/>
      <c r="AE11" s="7"/>
      <c r="AF11" s="7">
        <f t="shared" si="3"/>
        <v>0</v>
      </c>
      <c r="AG11" s="7"/>
      <c r="AH11" s="7">
        <v>-132.03</v>
      </c>
      <c r="AI11" s="10">
        <f t="shared" si="4"/>
        <v>9495.8238756971568</v>
      </c>
    </row>
    <row r="12" spans="1:38" ht="18.75" x14ac:dyDescent="0.3">
      <c r="A12" s="19" t="s">
        <v>114</v>
      </c>
      <c r="B12" s="45">
        <v>4214.58</v>
      </c>
      <c r="C12" s="46">
        <v>2756.84</v>
      </c>
      <c r="D12" s="46">
        <v>2471.0579031265634</v>
      </c>
      <c r="E12" s="8">
        <v>5807.58</v>
      </c>
      <c r="F12" s="8">
        <v>3231.58</v>
      </c>
      <c r="G12" s="8">
        <v>4037.1</v>
      </c>
      <c r="H12" s="8">
        <v>5960.16</v>
      </c>
      <c r="I12" s="8">
        <v>8418.2900000000009</v>
      </c>
      <c r="J12" s="8">
        <v>7006.2</v>
      </c>
      <c r="K12" s="8">
        <v>6057.76</v>
      </c>
      <c r="L12" s="8">
        <v>6436.56</v>
      </c>
      <c r="M12" s="8">
        <v>2643.3700000000003</v>
      </c>
      <c r="N12" s="8">
        <f t="shared" si="0"/>
        <v>22040.080000000002</v>
      </c>
      <c r="O12" s="8">
        <f t="shared" si="0"/>
        <v>20843.27</v>
      </c>
      <c r="P12" s="8">
        <f t="shared" si="0"/>
        <v>16157.727903126563</v>
      </c>
      <c r="Q12" s="7"/>
      <c r="R12" s="7"/>
      <c r="S12" s="7"/>
      <c r="T12" s="7">
        <v>6194.4</v>
      </c>
      <c r="U12" s="7">
        <v>3505.14</v>
      </c>
      <c r="V12" s="7">
        <v>2318.65</v>
      </c>
      <c r="W12" s="8">
        <f t="shared" si="1"/>
        <v>28234.480000000003</v>
      </c>
      <c r="X12" s="8">
        <f t="shared" si="1"/>
        <v>24348.41</v>
      </c>
      <c r="Y12" s="8">
        <f t="shared" si="1"/>
        <v>18476.377903126562</v>
      </c>
      <c r="Z12" s="10">
        <f t="shared" si="2"/>
        <v>5872.0320968734377</v>
      </c>
      <c r="AA12" s="25">
        <v>-208.43</v>
      </c>
      <c r="AB12" s="7"/>
      <c r="AC12" s="7">
        <f>-(3888.74+5077.95)</f>
        <v>-8966.6899999999987</v>
      </c>
      <c r="AD12" s="7">
        <f>-(4996.14+8882.02)</f>
        <v>-13878.16</v>
      </c>
      <c r="AE12" s="7"/>
      <c r="AF12" s="7">
        <f t="shared" si="3"/>
        <v>-22844.85</v>
      </c>
      <c r="AG12" s="7"/>
      <c r="AH12" s="7">
        <v>-132.31</v>
      </c>
      <c r="AI12" s="10">
        <f t="shared" si="4"/>
        <v>-17313.557903126562</v>
      </c>
    </row>
    <row r="13" spans="1:38" ht="18.75" x14ac:dyDescent="0.3">
      <c r="A13" s="19" t="s">
        <v>115</v>
      </c>
      <c r="B13" s="46">
        <v>3619.04</v>
      </c>
      <c r="C13" s="46">
        <v>3166.66</v>
      </c>
      <c r="D13" s="46">
        <v>2387.2752030558609</v>
      </c>
      <c r="E13" s="8">
        <v>6435.18</v>
      </c>
      <c r="F13" s="8">
        <v>6406.77</v>
      </c>
      <c r="G13" s="8">
        <v>4517.5</v>
      </c>
      <c r="H13" s="8">
        <v>6605.64</v>
      </c>
      <c r="I13" s="8">
        <v>6605.64</v>
      </c>
      <c r="J13" s="8">
        <v>7555.88</v>
      </c>
      <c r="K13" s="8">
        <v>6605.64</v>
      </c>
      <c r="L13" s="8">
        <v>6605.64</v>
      </c>
      <c r="M13" s="8">
        <v>3559.1099999999992</v>
      </c>
      <c r="N13" s="8">
        <f t="shared" si="0"/>
        <v>23265.5</v>
      </c>
      <c r="O13" s="8">
        <f t="shared" si="0"/>
        <v>22784.71</v>
      </c>
      <c r="P13" s="8">
        <f t="shared" si="0"/>
        <v>18019.76520305586</v>
      </c>
      <c r="Q13" s="7"/>
      <c r="R13" s="7"/>
      <c r="S13" s="7"/>
      <c r="T13" s="7">
        <v>6605.64</v>
      </c>
      <c r="U13" s="7">
        <v>6605.64</v>
      </c>
      <c r="V13" s="7">
        <v>2748.91</v>
      </c>
      <c r="W13" s="8">
        <f t="shared" si="1"/>
        <v>29871.14</v>
      </c>
      <c r="X13" s="8">
        <f t="shared" si="1"/>
        <v>29390.35</v>
      </c>
      <c r="Y13" s="8">
        <f t="shared" si="1"/>
        <v>20768.67520305586</v>
      </c>
      <c r="Z13" s="10">
        <f t="shared" si="2"/>
        <v>8621.6747969441385</v>
      </c>
      <c r="AA13" s="25">
        <v>-227.85</v>
      </c>
      <c r="AB13" s="7"/>
      <c r="AC13" s="7"/>
      <c r="AD13" s="7"/>
      <c r="AE13" s="7"/>
      <c r="AF13" s="7">
        <f t="shared" si="3"/>
        <v>0</v>
      </c>
      <c r="AG13" s="7"/>
      <c r="AH13" s="7">
        <v>-148.05000000000001</v>
      </c>
      <c r="AI13" s="10">
        <f t="shared" si="4"/>
        <v>8245.7747969441389</v>
      </c>
    </row>
    <row r="14" spans="1:38" ht="18.75" x14ac:dyDescent="0.3">
      <c r="A14" s="19" t="s">
        <v>116</v>
      </c>
      <c r="B14" s="45">
        <v>2488.75</v>
      </c>
      <c r="C14" s="46">
        <v>2262.5</v>
      </c>
      <c r="D14" s="46">
        <v>1908.60359788086</v>
      </c>
      <c r="E14" s="8">
        <v>3580.5</v>
      </c>
      <c r="F14" s="8">
        <v>3564.69</v>
      </c>
      <c r="G14" s="8">
        <v>4163.5200000000004</v>
      </c>
      <c r="H14" s="8">
        <v>3675.36</v>
      </c>
      <c r="I14" s="8">
        <v>3675.36</v>
      </c>
      <c r="J14" s="8">
        <v>6963.91</v>
      </c>
      <c r="K14" s="8">
        <v>3734.61</v>
      </c>
      <c r="L14" s="8">
        <v>3722.76</v>
      </c>
      <c r="M14" s="8">
        <v>3236.5399999999995</v>
      </c>
      <c r="N14" s="8">
        <f t="shared" si="0"/>
        <v>13479.220000000001</v>
      </c>
      <c r="O14" s="8">
        <f t="shared" si="0"/>
        <v>13225.310000000001</v>
      </c>
      <c r="P14" s="8">
        <f t="shared" si="0"/>
        <v>16272.573597880859</v>
      </c>
      <c r="Q14" s="7"/>
      <c r="R14" s="7"/>
      <c r="S14" s="7"/>
      <c r="T14" s="7">
        <v>3817.56</v>
      </c>
      <c r="U14" s="7">
        <v>3817.56</v>
      </c>
      <c r="V14" s="7">
        <v>2468.64</v>
      </c>
      <c r="W14" s="8">
        <f t="shared" si="1"/>
        <v>17296.780000000002</v>
      </c>
      <c r="X14" s="8">
        <f t="shared" si="1"/>
        <v>17042.870000000003</v>
      </c>
      <c r="Y14" s="8">
        <f t="shared" si="1"/>
        <v>18741.213597880858</v>
      </c>
      <c r="Z14" s="10">
        <f t="shared" si="2"/>
        <v>-1698.3435978808557</v>
      </c>
      <c r="AA14" s="25">
        <v>-132.25</v>
      </c>
      <c r="AB14" s="7"/>
      <c r="AC14" s="7"/>
      <c r="AD14" s="7"/>
      <c r="AE14" s="7"/>
      <c r="AF14" s="7">
        <f t="shared" si="3"/>
        <v>0</v>
      </c>
      <c r="AG14" s="7"/>
      <c r="AH14" s="7">
        <v>-136.44999999999999</v>
      </c>
      <c r="AI14" s="10">
        <f t="shared" si="4"/>
        <v>-1967.0435978808557</v>
      </c>
    </row>
    <row r="15" spans="1:38" ht="18.75" x14ac:dyDescent="0.3">
      <c r="A15" s="43" t="s">
        <v>117</v>
      </c>
      <c r="B15" s="45">
        <v>1239.3699999999999</v>
      </c>
      <c r="C15" s="46">
        <v>1126.7</v>
      </c>
      <c r="D15" s="46">
        <v>950.44957887499186</v>
      </c>
      <c r="E15" s="8">
        <v>1610.34</v>
      </c>
      <c r="F15" s="8">
        <v>1465.4449999999999</v>
      </c>
      <c r="G15" s="8">
        <v>2073.33</v>
      </c>
      <c r="H15" s="8">
        <v>1653.12</v>
      </c>
      <c r="I15" s="8">
        <v>1790.88</v>
      </c>
      <c r="J15" s="8">
        <v>3327.59</v>
      </c>
      <c r="K15" s="8">
        <v>1653.12</v>
      </c>
      <c r="L15" s="8">
        <v>1653.12</v>
      </c>
      <c r="M15" s="8">
        <v>1607.77</v>
      </c>
      <c r="N15" s="8">
        <f t="shared" si="0"/>
        <v>6155.95</v>
      </c>
      <c r="O15" s="8">
        <f t="shared" si="0"/>
        <v>6036.1449999999995</v>
      </c>
      <c r="P15" s="8">
        <f t="shared" si="0"/>
        <v>7959.1395788749924</v>
      </c>
      <c r="Q15" s="7"/>
      <c r="R15" s="7"/>
      <c r="S15" s="7"/>
      <c r="T15" s="7"/>
      <c r="U15" s="7">
        <v>137.76</v>
      </c>
      <c r="V15" s="7">
        <v>1.38</v>
      </c>
      <c r="W15" s="8">
        <f t="shared" si="1"/>
        <v>6155.95</v>
      </c>
      <c r="X15" s="8">
        <f t="shared" si="1"/>
        <v>6173.9049999999997</v>
      </c>
      <c r="Y15" s="8">
        <f t="shared" si="1"/>
        <v>7960.5195788749925</v>
      </c>
      <c r="Z15" s="10">
        <f t="shared" si="2"/>
        <v>-1786.6145788749927</v>
      </c>
      <c r="AA15" s="25">
        <v>-60.36</v>
      </c>
      <c r="AB15" s="7"/>
      <c r="AC15" s="7"/>
      <c r="AD15" s="7"/>
      <c r="AE15" s="7"/>
      <c r="AF15" s="7">
        <f t="shared" si="3"/>
        <v>0</v>
      </c>
      <c r="AG15" s="7"/>
      <c r="AH15" s="7">
        <v>-67.95</v>
      </c>
      <c r="AI15" s="10">
        <f t="shared" si="4"/>
        <v>-1914.9245788749927</v>
      </c>
    </row>
    <row r="16" spans="1:38" ht="18.75" x14ac:dyDescent="0.3">
      <c r="A16" s="27" t="s">
        <v>118</v>
      </c>
      <c r="B16" s="47">
        <v>3370.88</v>
      </c>
      <c r="C16" s="47">
        <v>252.67</v>
      </c>
      <c r="D16" s="46">
        <v>3119.1450381533659</v>
      </c>
      <c r="E16" s="8">
        <v>7391.27</v>
      </c>
      <c r="F16" s="8">
        <v>10977.37</v>
      </c>
      <c r="G16" s="8">
        <v>7753.92</v>
      </c>
      <c r="H16" s="8">
        <v>7584.36</v>
      </c>
      <c r="I16" s="8">
        <v>6070.91</v>
      </c>
      <c r="J16" s="8">
        <v>13557.93</v>
      </c>
      <c r="K16" s="8">
        <v>7584.36</v>
      </c>
      <c r="L16" s="8">
        <v>6772</v>
      </c>
      <c r="M16" s="8">
        <v>6038.7000000000016</v>
      </c>
      <c r="N16" s="8">
        <f t="shared" si="0"/>
        <v>25930.870000000003</v>
      </c>
      <c r="O16" s="8">
        <f t="shared" si="0"/>
        <v>24072.95</v>
      </c>
      <c r="P16" s="8">
        <f t="shared" si="0"/>
        <v>30469.695038153368</v>
      </c>
      <c r="Q16" s="7"/>
      <c r="R16" s="7"/>
      <c r="S16" s="7"/>
      <c r="T16" s="7">
        <v>7584.36</v>
      </c>
      <c r="U16" s="7">
        <v>7006.35</v>
      </c>
      <c r="V16" s="7">
        <v>4616.83</v>
      </c>
      <c r="W16" s="8">
        <f t="shared" si="1"/>
        <v>33515.230000000003</v>
      </c>
      <c r="X16" s="8">
        <f t="shared" si="1"/>
        <v>31079.300000000003</v>
      </c>
      <c r="Y16" s="8">
        <f t="shared" si="1"/>
        <v>35086.52503815337</v>
      </c>
      <c r="Z16" s="10">
        <f t="shared" si="2"/>
        <v>-4007.2250381533668</v>
      </c>
      <c r="AA16" s="25">
        <v>-240.73</v>
      </c>
      <c r="AB16" s="7">
        <v>-5497.02</v>
      </c>
      <c r="AC16" s="7"/>
      <c r="AD16" s="7"/>
      <c r="AE16" s="7">
        <v>-3055.93</v>
      </c>
      <c r="AF16" s="7">
        <f t="shared" si="3"/>
        <v>-8552.9500000000007</v>
      </c>
      <c r="AG16" s="7">
        <v>-701</v>
      </c>
      <c r="AH16" s="7">
        <v>-254.12</v>
      </c>
      <c r="AI16" s="10">
        <f t="shared" si="4"/>
        <v>-13756.025038153368</v>
      </c>
    </row>
    <row r="17" spans="1:35" ht="18.75" x14ac:dyDescent="0.3">
      <c r="A17" s="28" t="s">
        <v>94</v>
      </c>
      <c r="B17" s="45">
        <f>149591.75+36570.36+15846.6</f>
        <v>202008.71</v>
      </c>
      <c r="C17" s="46">
        <f>134311.03+34231.85+14227.87</f>
        <v>182770.75</v>
      </c>
      <c r="D17" s="46">
        <f>137626.706761728+30171.54+4037.94</f>
        <v>171836.18676172802</v>
      </c>
      <c r="E17" s="8">
        <f>251531.8+17304.3</f>
        <v>268836.09999999998</v>
      </c>
      <c r="F17" s="8">
        <v>244388.81</v>
      </c>
      <c r="G17" s="8">
        <v>227322.07</v>
      </c>
      <c r="H17" s="8">
        <v>288920.24</v>
      </c>
      <c r="I17" s="8">
        <v>279821.65999999997</v>
      </c>
      <c r="J17" s="8">
        <v>279047.23</v>
      </c>
      <c r="K17" s="8">
        <v>297252.57999999996</v>
      </c>
      <c r="L17" s="8">
        <v>286922.17995510879</v>
      </c>
      <c r="M17" s="8">
        <v>302885.50000000006</v>
      </c>
      <c r="N17" s="8">
        <f t="shared" si="0"/>
        <v>1057017.6299999999</v>
      </c>
      <c r="O17" s="8">
        <f t="shared" si="0"/>
        <v>993903.39995510876</v>
      </c>
      <c r="P17" s="8">
        <f t="shared" si="0"/>
        <v>981090.98676172807</v>
      </c>
      <c r="Q17" s="8">
        <v>392334.6</v>
      </c>
      <c r="R17" s="8">
        <v>385334.42000000004</v>
      </c>
      <c r="S17" s="8">
        <v>231052.78000000003</v>
      </c>
      <c r="T17" s="7">
        <v>409350.87</v>
      </c>
      <c r="U17" s="7">
        <v>376338.91</v>
      </c>
      <c r="V17" s="7">
        <v>554147.21</v>
      </c>
      <c r="W17" s="8">
        <f t="shared" si="1"/>
        <v>1858703.1</v>
      </c>
      <c r="X17" s="8">
        <f t="shared" si="1"/>
        <v>1755576.7299551086</v>
      </c>
      <c r="Y17" s="8">
        <f t="shared" si="1"/>
        <v>1766290.9767617281</v>
      </c>
      <c r="Z17" s="10">
        <f t="shared" si="2"/>
        <v>-10714.246806619456</v>
      </c>
      <c r="AA17" s="25">
        <v>-13792.38</v>
      </c>
      <c r="AB17" s="7">
        <v>-5713.71</v>
      </c>
      <c r="AC17" s="7"/>
      <c r="AD17" s="7"/>
      <c r="AE17" s="7"/>
      <c r="AF17" s="7">
        <f t="shared" si="3"/>
        <v>-5713.71</v>
      </c>
      <c r="AG17" s="7">
        <v>-977</v>
      </c>
      <c r="AH17" s="7">
        <v>-3979.13</v>
      </c>
      <c r="AI17" s="10">
        <f t="shared" si="4"/>
        <v>-35176.46680661945</v>
      </c>
    </row>
    <row r="18" spans="1:35" ht="18.75" x14ac:dyDescent="0.3">
      <c r="A18" s="28" t="s">
        <v>95</v>
      </c>
      <c r="B18" s="45">
        <f>150557.55+36806.31+15948.9</f>
        <v>203312.75999999998</v>
      </c>
      <c r="C18" s="46">
        <f>109682.42+27971.77+11618.9</f>
        <v>149273.09</v>
      </c>
      <c r="D18" s="46">
        <f>137002.448775547+30367.7+4064.01</f>
        <v>171434.15877554702</v>
      </c>
      <c r="E18" s="8">
        <f>251974.52+17398.8</f>
        <v>269373.32</v>
      </c>
      <c r="F18" s="8">
        <v>222395.13</v>
      </c>
      <c r="G18" s="8">
        <v>228892.66</v>
      </c>
      <c r="H18" s="8">
        <v>288358.94</v>
      </c>
      <c r="I18" s="8">
        <v>251254.34</v>
      </c>
      <c r="J18" s="8">
        <v>282737.09000000003</v>
      </c>
      <c r="K18" s="8">
        <v>299135</v>
      </c>
      <c r="L18" s="8">
        <v>305320.19503875868</v>
      </c>
      <c r="M18" s="8">
        <v>311822.08999999997</v>
      </c>
      <c r="N18" s="8">
        <f t="shared" si="0"/>
        <v>1060180.02</v>
      </c>
      <c r="O18" s="8">
        <f t="shared" si="0"/>
        <v>928242.75503875862</v>
      </c>
      <c r="P18" s="8">
        <f t="shared" si="0"/>
        <v>994885.99877554702</v>
      </c>
      <c r="Q18" s="8">
        <v>394372.8</v>
      </c>
      <c r="R18" s="8">
        <v>370089.87</v>
      </c>
      <c r="S18" s="8">
        <v>105033.06</v>
      </c>
      <c r="T18" s="7">
        <v>412909.43</v>
      </c>
      <c r="U18" s="7">
        <v>414623.93</v>
      </c>
      <c r="V18" s="7">
        <v>387134.75</v>
      </c>
      <c r="W18" s="8">
        <f t="shared" si="1"/>
        <v>1867462.25</v>
      </c>
      <c r="X18" s="8">
        <f t="shared" si="1"/>
        <v>1712956.5550387586</v>
      </c>
      <c r="Y18" s="8">
        <f t="shared" si="1"/>
        <v>1487053.808775547</v>
      </c>
      <c r="Z18" s="10">
        <f t="shared" si="2"/>
        <v>225902.74626321159</v>
      </c>
      <c r="AA18" s="25">
        <v>-12983.33</v>
      </c>
      <c r="AB18" s="7">
        <v>-73691.460000000006</v>
      </c>
      <c r="AC18" s="7">
        <v>-48730.03</v>
      </c>
      <c r="AD18" s="7">
        <v>-64645.35</v>
      </c>
      <c r="AE18" s="7">
        <v>-27101.77</v>
      </c>
      <c r="AF18" s="7">
        <f t="shared" si="3"/>
        <v>-214168.61</v>
      </c>
      <c r="AG18" s="7">
        <v>-1165.6300000000001</v>
      </c>
      <c r="AH18" s="7">
        <v>-4004.82</v>
      </c>
      <c r="AI18" s="10">
        <f t="shared" si="4"/>
        <v>-6419.6437367883809</v>
      </c>
    </row>
    <row r="19" spans="1:35" ht="18.75" x14ac:dyDescent="0.3">
      <c r="A19" s="28" t="s">
        <v>96</v>
      </c>
      <c r="B19" s="45">
        <f>151638.74+37070.39+16063.41</f>
        <v>204772.54</v>
      </c>
      <c r="C19" s="46">
        <f>131887.08+33670.21+13971.05</f>
        <v>179528.33999999997</v>
      </c>
      <c r="D19" s="46">
        <f>136496.420856269+30586.39+4093.47</f>
        <v>171176.28085626898</v>
      </c>
      <c r="E19" s="8">
        <f>252644.91+17523.72</f>
        <v>270168.63</v>
      </c>
      <c r="F19" s="8">
        <v>256597.38</v>
      </c>
      <c r="G19" s="8">
        <v>227371.24</v>
      </c>
      <c r="H19" s="8">
        <v>289036.92</v>
      </c>
      <c r="I19" s="8">
        <v>275807.90000000002</v>
      </c>
      <c r="J19" s="8">
        <v>280131.51</v>
      </c>
      <c r="K19" s="8">
        <v>298566.55999999994</v>
      </c>
      <c r="L19" s="8">
        <v>300698.76516958885</v>
      </c>
      <c r="M19" s="8">
        <v>306870.8</v>
      </c>
      <c r="N19" s="8">
        <f t="shared" si="0"/>
        <v>1062544.6499999999</v>
      </c>
      <c r="O19" s="8">
        <f t="shared" si="0"/>
        <v>1012632.3851695888</v>
      </c>
      <c r="P19" s="8">
        <f t="shared" si="0"/>
        <v>985549.83085626899</v>
      </c>
      <c r="Q19" s="8">
        <v>397211.52</v>
      </c>
      <c r="R19" s="8">
        <v>395096.41000000003</v>
      </c>
      <c r="S19" s="8">
        <v>233657.55000000005</v>
      </c>
      <c r="T19" s="7">
        <v>412810.93</v>
      </c>
      <c r="U19" s="7">
        <v>412659.25</v>
      </c>
      <c r="V19" s="7">
        <v>377099.07</v>
      </c>
      <c r="W19" s="8">
        <f t="shared" si="1"/>
        <v>1872567.0999999999</v>
      </c>
      <c r="X19" s="8">
        <f t="shared" si="1"/>
        <v>1820388.0451695889</v>
      </c>
      <c r="Y19" s="8">
        <f t="shared" si="1"/>
        <v>1596306.4508562691</v>
      </c>
      <c r="Z19" s="10">
        <f t="shared" si="2"/>
        <v>224081.59431331977</v>
      </c>
      <c r="AA19" s="25">
        <v>-14077.29</v>
      </c>
      <c r="AB19" s="7">
        <v>-1721.32</v>
      </c>
      <c r="AC19" s="7"/>
      <c r="AD19" s="7"/>
      <c r="AE19" s="7">
        <v>-5544.2</v>
      </c>
      <c r="AF19" s="7">
        <f t="shared" si="3"/>
        <v>-7265.5199999999995</v>
      </c>
      <c r="AG19" s="7"/>
      <c r="AH19" s="7">
        <v>-4033.85</v>
      </c>
      <c r="AI19" s="10">
        <f t="shared" si="4"/>
        <v>198704.93431331977</v>
      </c>
    </row>
    <row r="20" spans="1:35" ht="18.75" x14ac:dyDescent="0.3">
      <c r="A20" s="28" t="s">
        <v>97</v>
      </c>
      <c r="B20" s="45">
        <f>151014.6+38393.52+15997.3</f>
        <v>205405.41999999998</v>
      </c>
      <c r="C20" s="46">
        <f>126089.96+32056.74+13357</f>
        <v>171503.7</v>
      </c>
      <c r="D20" s="46">
        <f>136618.366922025+30460.61+4076.34</f>
        <v>171155.31692202497</v>
      </c>
      <c r="E20" s="8">
        <f>251557.05+17451.6</f>
        <v>269008.64999999997</v>
      </c>
      <c r="F20" s="8">
        <v>238743.04000000001</v>
      </c>
      <c r="G20" s="8">
        <v>229005.88</v>
      </c>
      <c r="H20" s="8">
        <v>287793.45</v>
      </c>
      <c r="I20" s="8">
        <v>271414.90999999997</v>
      </c>
      <c r="J20" s="8">
        <v>279153.36</v>
      </c>
      <c r="K20" s="8">
        <v>296203.84000000008</v>
      </c>
      <c r="L20" s="8">
        <v>278750.17399671598</v>
      </c>
      <c r="M20" s="8">
        <v>307127.2</v>
      </c>
      <c r="N20" s="8">
        <f t="shared" si="0"/>
        <v>1058411.3600000001</v>
      </c>
      <c r="O20" s="8">
        <f t="shared" si="0"/>
        <v>960411.82399671595</v>
      </c>
      <c r="P20" s="8">
        <f t="shared" si="0"/>
        <v>986441.756922025</v>
      </c>
      <c r="Q20" s="8">
        <v>395569.6</v>
      </c>
      <c r="R20" s="8">
        <v>381091.64</v>
      </c>
      <c r="S20" s="8">
        <v>368134.47</v>
      </c>
      <c r="T20" s="7">
        <v>396857.15</v>
      </c>
      <c r="U20" s="7">
        <v>390763.77</v>
      </c>
      <c r="V20" s="7">
        <v>354346.99</v>
      </c>
      <c r="W20" s="8">
        <f t="shared" si="1"/>
        <v>1850838.1099999999</v>
      </c>
      <c r="X20" s="8">
        <f t="shared" si="1"/>
        <v>1732267.2339967159</v>
      </c>
      <c r="Y20" s="8">
        <f t="shared" si="1"/>
        <v>1708923.216922025</v>
      </c>
      <c r="Z20" s="10">
        <f t="shared" si="2"/>
        <v>23344.017074690899</v>
      </c>
      <c r="AA20" s="25">
        <v>-13415.03</v>
      </c>
      <c r="AB20" s="7">
        <v>-32265.39</v>
      </c>
      <c r="AC20" s="7">
        <f>-(8014.2+16900.98)</f>
        <v>-24915.18</v>
      </c>
      <c r="AD20" s="7">
        <v>-20227.400000000001</v>
      </c>
      <c r="AE20" s="7">
        <v>-12518.75</v>
      </c>
      <c r="AF20" s="7">
        <f t="shared" si="3"/>
        <v>-89926.720000000001</v>
      </c>
      <c r="AG20" s="7">
        <v>-3840.72</v>
      </c>
      <c r="AH20" s="7">
        <v>-4016.97</v>
      </c>
      <c r="AI20" s="10">
        <f t="shared" si="4"/>
        <v>-87855.422925309103</v>
      </c>
    </row>
    <row r="21" spans="1:35" ht="18.75" x14ac:dyDescent="0.3">
      <c r="A21" s="28" t="s">
        <v>98</v>
      </c>
      <c r="B21" s="45">
        <f>152052.89+38657.52+16107.33</f>
        <v>206817.74</v>
      </c>
      <c r="C21" s="46">
        <f>117350.85+29834.95+12513.32</f>
        <v>159699.12000000002</v>
      </c>
      <c r="D21" s="46">
        <f>143000.496886049+30676.83+4105.49</f>
        <v>177782.816886049</v>
      </c>
      <c r="E21" s="7">
        <f>253404.5+17571.6</f>
        <v>270976.09999999998</v>
      </c>
      <c r="F21" s="7">
        <v>260927.03</v>
      </c>
      <c r="G21" s="7">
        <v>228348.47</v>
      </c>
      <c r="H21" s="8">
        <v>287636.45</v>
      </c>
      <c r="I21" s="8">
        <v>266726.34999999998</v>
      </c>
      <c r="J21" s="8">
        <v>287039.5</v>
      </c>
      <c r="K21" s="7">
        <v>298312.02</v>
      </c>
      <c r="L21" s="7">
        <v>302244.4952280295</v>
      </c>
      <c r="M21" s="7">
        <v>304669.46999999997</v>
      </c>
      <c r="N21" s="8">
        <f t="shared" si="0"/>
        <v>1063742.31</v>
      </c>
      <c r="O21" s="8">
        <f t="shared" si="0"/>
        <v>989596.99522802955</v>
      </c>
      <c r="P21" s="8">
        <f t="shared" si="0"/>
        <v>997840.25688604894</v>
      </c>
      <c r="Q21" s="8">
        <v>398269.03</v>
      </c>
      <c r="R21" s="8">
        <v>391707.31</v>
      </c>
      <c r="S21" s="8">
        <v>309422.87999999995</v>
      </c>
      <c r="T21" s="7">
        <v>399328.43</v>
      </c>
      <c r="U21" s="7">
        <v>375571.09</v>
      </c>
      <c r="V21" s="7">
        <v>296144.14</v>
      </c>
      <c r="W21" s="8">
        <f t="shared" si="1"/>
        <v>1861339.77</v>
      </c>
      <c r="X21" s="8">
        <f t="shared" si="1"/>
        <v>1756875.3952280297</v>
      </c>
      <c r="Y21" s="8">
        <f t="shared" si="1"/>
        <v>1603407.2768860487</v>
      </c>
      <c r="Z21" s="10">
        <f t="shared" si="2"/>
        <v>153468.11834198097</v>
      </c>
      <c r="AA21" s="25">
        <v>-13813.04</v>
      </c>
      <c r="AB21" s="7">
        <v>-18931.48</v>
      </c>
      <c r="AC21" s="7">
        <f>-(4562.78+39240.25)</f>
        <v>-43803.03</v>
      </c>
      <c r="AD21" s="7">
        <f>-(5475.43+37980)</f>
        <v>-43455.43</v>
      </c>
      <c r="AE21" s="7">
        <f>-(11753.78+10787.26)</f>
        <v>-22541.040000000001</v>
      </c>
      <c r="AF21" s="7">
        <f t="shared" si="3"/>
        <v>-128730.98000000001</v>
      </c>
      <c r="AG21" s="7">
        <v>-1911.44</v>
      </c>
      <c r="AH21" s="7">
        <v>-4045.7</v>
      </c>
      <c r="AI21" s="10">
        <f t="shared" si="4"/>
        <v>4966.9583419809487</v>
      </c>
    </row>
    <row r="22" spans="1:35" ht="18.75" x14ac:dyDescent="0.3">
      <c r="A22" s="28" t="s">
        <v>99</v>
      </c>
      <c r="B22" s="45">
        <f>74826.62+8435.9</f>
        <v>83262.51999999999</v>
      </c>
      <c r="C22" s="46">
        <f>62704.84+7069.29</f>
        <v>69774.12999999999</v>
      </c>
      <c r="D22" s="46">
        <f>71339.0906578579+2149.59</f>
        <v>73488.680657857898</v>
      </c>
      <c r="E22" s="7">
        <f>103921.2+8435.9</f>
        <v>112357.09999999999</v>
      </c>
      <c r="F22" s="7">
        <v>105431.86</v>
      </c>
      <c r="G22" s="7">
        <v>105426.07</v>
      </c>
      <c r="H22" s="8">
        <v>127806.51</v>
      </c>
      <c r="I22" s="8">
        <v>111374.8</v>
      </c>
      <c r="J22" s="8">
        <v>127040.34</v>
      </c>
      <c r="K22" s="7">
        <v>134589.40999999997</v>
      </c>
      <c r="L22" s="7">
        <v>144752.21278455452</v>
      </c>
      <c r="M22" s="7">
        <v>137918.88999999998</v>
      </c>
      <c r="N22" s="8">
        <f t="shared" si="0"/>
        <v>458015.54</v>
      </c>
      <c r="O22" s="8">
        <f t="shared" si="0"/>
        <v>431333.0027845545</v>
      </c>
      <c r="P22" s="8">
        <f t="shared" si="0"/>
        <v>443873.98065785796</v>
      </c>
      <c r="Q22" s="8">
        <v>208596.8</v>
      </c>
      <c r="R22" s="8">
        <v>208192.74</v>
      </c>
      <c r="S22" s="8">
        <v>221231.35999999999</v>
      </c>
      <c r="T22" s="7">
        <v>189751.75</v>
      </c>
      <c r="U22" s="7">
        <v>187415.36</v>
      </c>
      <c r="V22" s="7">
        <v>136284.85999999999</v>
      </c>
      <c r="W22" s="8">
        <f t="shared" si="1"/>
        <v>856364.09</v>
      </c>
      <c r="X22" s="8">
        <f t="shared" si="1"/>
        <v>826941.10278455447</v>
      </c>
      <c r="Y22" s="8">
        <f t="shared" si="1"/>
        <v>801390.20065785793</v>
      </c>
      <c r="Z22" s="10">
        <f t="shared" si="2"/>
        <v>25550.902126696543</v>
      </c>
      <c r="AA22" s="25">
        <v>-6395.26</v>
      </c>
      <c r="AB22" s="7"/>
      <c r="AC22" s="7">
        <v>-26815.95</v>
      </c>
      <c r="AD22" s="7">
        <v>-29690.93</v>
      </c>
      <c r="AE22" s="7">
        <v>-7667.84</v>
      </c>
      <c r="AF22" s="7">
        <f t="shared" si="3"/>
        <v>-64174.720000000001</v>
      </c>
      <c r="AG22" s="7">
        <v>-560.14</v>
      </c>
      <c r="AH22" s="7">
        <v>-2118.2800000000002</v>
      </c>
      <c r="AI22" s="10">
        <f t="shared" si="4"/>
        <v>-47697.497873303459</v>
      </c>
    </row>
    <row r="23" spans="1:35" ht="18.75" x14ac:dyDescent="0.3">
      <c r="A23" s="28" t="s">
        <v>100</v>
      </c>
      <c r="B23" s="45">
        <f>75081.05+8474.18</f>
        <v>83555.23000000001</v>
      </c>
      <c r="C23" s="46">
        <f>64202.01+7246.31</f>
        <v>71448.320000000007</v>
      </c>
      <c r="D23" s="46">
        <f>72074.4164688551+2182.89</f>
        <v>74257.306468855095</v>
      </c>
      <c r="E23" s="7">
        <f>104292.3+9244.56</f>
        <v>113536.86</v>
      </c>
      <c r="F23" s="7">
        <v>106260.6</v>
      </c>
      <c r="G23" s="7">
        <v>103686.35</v>
      </c>
      <c r="H23" s="8">
        <v>123444.32</v>
      </c>
      <c r="I23" s="8">
        <v>106251.05</v>
      </c>
      <c r="J23" s="8">
        <v>127420.65</v>
      </c>
      <c r="K23" s="7">
        <v>128658.74999999997</v>
      </c>
      <c r="L23" s="7">
        <v>125824.06908091596</v>
      </c>
      <c r="M23" s="7">
        <v>131829.93000000002</v>
      </c>
      <c r="N23" s="8">
        <f t="shared" si="0"/>
        <v>449195.16000000003</v>
      </c>
      <c r="O23" s="8">
        <f t="shared" si="0"/>
        <v>409784.03908091597</v>
      </c>
      <c r="P23" s="8">
        <f t="shared" si="0"/>
        <v>437194.23646885518</v>
      </c>
      <c r="Q23" s="8">
        <v>210148.16</v>
      </c>
      <c r="R23" s="8">
        <v>200999.51</v>
      </c>
      <c r="S23" s="8">
        <v>130579.04000000001</v>
      </c>
      <c r="T23" s="7">
        <v>190429.4</v>
      </c>
      <c r="U23" s="7">
        <v>176249.53</v>
      </c>
      <c r="V23" s="7">
        <v>140208.18</v>
      </c>
      <c r="W23" s="8">
        <f t="shared" si="1"/>
        <v>849772.72000000009</v>
      </c>
      <c r="X23" s="8">
        <f t="shared" si="1"/>
        <v>787033.07908091601</v>
      </c>
      <c r="Y23" s="8">
        <f t="shared" si="1"/>
        <v>707981.45646885526</v>
      </c>
      <c r="Z23" s="10">
        <f t="shared" si="2"/>
        <v>79051.622612060746</v>
      </c>
      <c r="AA23" s="25">
        <v>-6107.84</v>
      </c>
      <c r="AB23" s="7">
        <v>-30013.17</v>
      </c>
      <c r="AC23" s="7"/>
      <c r="AD23" s="7"/>
      <c r="AE23" s="7">
        <f>-(3893.11+2693.69)</f>
        <v>-6586.8</v>
      </c>
      <c r="AF23" s="7">
        <f t="shared" si="3"/>
        <v>-36599.97</v>
      </c>
      <c r="AG23" s="7">
        <v>-398.5</v>
      </c>
      <c r="AH23" s="7">
        <v>-2151.1</v>
      </c>
      <c r="AI23" s="10">
        <f t="shared" si="4"/>
        <v>33794.21261206075</v>
      </c>
    </row>
    <row r="24" spans="1:35" ht="18.75" x14ac:dyDescent="0.3">
      <c r="A24" s="43" t="s">
        <v>119</v>
      </c>
      <c r="B24" s="45">
        <v>12424.39</v>
      </c>
      <c r="C24" s="46">
        <v>11275.18</v>
      </c>
      <c r="D24" s="46">
        <v>6965.1445676217863</v>
      </c>
      <c r="E24" s="7">
        <v>4718.53</v>
      </c>
      <c r="F24" s="7">
        <v>5827.52</v>
      </c>
      <c r="G24" s="7">
        <v>10636.36</v>
      </c>
      <c r="H24" s="8"/>
      <c r="I24" s="8"/>
      <c r="J24" s="8"/>
      <c r="K24" s="7">
        <v>0</v>
      </c>
      <c r="L24" s="7">
        <v>0</v>
      </c>
      <c r="M24" s="7">
        <v>0</v>
      </c>
      <c r="N24" s="8">
        <f t="shared" si="0"/>
        <v>17142.919999999998</v>
      </c>
      <c r="O24" s="8">
        <f t="shared" si="0"/>
        <v>17102.7</v>
      </c>
      <c r="P24" s="8">
        <f t="shared" si="0"/>
        <v>17601.504567621785</v>
      </c>
      <c r="Q24" s="7"/>
      <c r="R24" s="7"/>
      <c r="S24" s="7"/>
      <c r="T24" s="7"/>
      <c r="U24" s="7"/>
      <c r="V24" s="7"/>
      <c r="W24" s="8">
        <f t="shared" si="1"/>
        <v>17142.919999999998</v>
      </c>
      <c r="X24" s="8">
        <f t="shared" si="1"/>
        <v>17102.7</v>
      </c>
      <c r="Y24" s="8">
        <f t="shared" si="1"/>
        <v>17601.504567621785</v>
      </c>
      <c r="Z24" s="10">
        <f t="shared" si="2"/>
        <v>-498.80456762178437</v>
      </c>
      <c r="AA24" s="25">
        <f t="shared" si="5"/>
        <v>-171.02700000000002</v>
      </c>
      <c r="AB24" s="7"/>
      <c r="AC24" s="7"/>
      <c r="AD24" s="7"/>
      <c r="AE24" s="7"/>
      <c r="AF24" s="7"/>
      <c r="AG24" s="7"/>
      <c r="AH24" s="7">
        <v>-266.17</v>
      </c>
      <c r="AI24" s="10">
        <f t="shared" si="4"/>
        <v>-936.00156762178449</v>
      </c>
    </row>
    <row r="25" spans="1:35" ht="18.75" x14ac:dyDescent="0.3">
      <c r="A25" s="43" t="s">
        <v>120</v>
      </c>
      <c r="B25" s="45">
        <v>12371.15</v>
      </c>
      <c r="C25" s="46">
        <v>11246.5</v>
      </c>
      <c r="D25" s="46">
        <v>6938.2946100800709</v>
      </c>
      <c r="E25" s="7">
        <v>16869.84</v>
      </c>
      <c r="F25" s="7">
        <v>16795.62</v>
      </c>
      <c r="G25" s="7">
        <v>10602.65</v>
      </c>
      <c r="H25" s="8">
        <v>17315.16</v>
      </c>
      <c r="I25" s="8">
        <v>17315.16</v>
      </c>
      <c r="J25" s="8">
        <v>19031.11</v>
      </c>
      <c r="K25" s="7">
        <v>17598.16</v>
      </c>
      <c r="L25" s="7">
        <v>17541.560000000001</v>
      </c>
      <c r="M25" s="7">
        <v>8820.94</v>
      </c>
      <c r="N25" s="8">
        <f t="shared" si="0"/>
        <v>64154.31</v>
      </c>
      <c r="O25" s="8">
        <f t="shared" si="0"/>
        <v>62898.84</v>
      </c>
      <c r="P25" s="8">
        <f t="shared" si="0"/>
        <v>45392.994610080073</v>
      </c>
      <c r="Q25" s="7"/>
      <c r="R25" s="7"/>
      <c r="S25" s="7"/>
      <c r="T25" s="7"/>
      <c r="U25" s="7">
        <v>1499.53</v>
      </c>
      <c r="V25" s="7">
        <v>15</v>
      </c>
      <c r="W25" s="8">
        <f t="shared" si="1"/>
        <v>64154.31</v>
      </c>
      <c r="X25" s="8">
        <f t="shared" si="1"/>
        <v>64398.369999999995</v>
      </c>
      <c r="Y25" s="8">
        <f t="shared" si="1"/>
        <v>45407.994610080073</v>
      </c>
      <c r="Z25" s="10">
        <f t="shared" si="2"/>
        <v>18990.375389919922</v>
      </c>
      <c r="AA25" s="25">
        <v>-628.99</v>
      </c>
      <c r="AB25" s="7"/>
      <c r="AC25" s="7"/>
      <c r="AD25" s="7"/>
      <c r="AE25" s="7"/>
      <c r="AF25" s="7"/>
      <c r="AG25" s="7"/>
      <c r="AH25" s="7">
        <v>-347.48</v>
      </c>
      <c r="AI25" s="10">
        <f t="shared" si="4"/>
        <v>18013.905389919921</v>
      </c>
    </row>
    <row r="26" spans="1:35" ht="18.75" x14ac:dyDescent="0.3">
      <c r="A26" s="43" t="s">
        <v>121</v>
      </c>
      <c r="B26" s="45">
        <v>12351.57</v>
      </c>
      <c r="C26" s="46">
        <v>10672.63</v>
      </c>
      <c r="D26" s="46">
        <v>6927.2942304678818</v>
      </c>
      <c r="E26" s="7">
        <v>4691.75</v>
      </c>
      <c r="F26" s="7">
        <v>6759.22</v>
      </c>
      <c r="G26" s="7">
        <v>10585.79</v>
      </c>
      <c r="H26" s="8"/>
      <c r="I26" s="8"/>
      <c r="J26" s="8"/>
      <c r="K26" s="7">
        <v>0</v>
      </c>
      <c r="L26" s="7">
        <v>7744.5</v>
      </c>
      <c r="M26" s="7">
        <v>0</v>
      </c>
      <c r="N26" s="8">
        <f t="shared" si="0"/>
        <v>17043.32</v>
      </c>
      <c r="O26" s="8">
        <f t="shared" si="0"/>
        <v>25176.35</v>
      </c>
      <c r="P26" s="8">
        <f t="shared" si="0"/>
        <v>17513.084230467881</v>
      </c>
      <c r="Q26" s="7"/>
      <c r="R26" s="7"/>
      <c r="S26" s="7"/>
      <c r="T26" s="7"/>
      <c r="U26" s="7"/>
      <c r="V26" s="7"/>
      <c r="W26" s="8">
        <f t="shared" si="1"/>
        <v>17043.32</v>
      </c>
      <c r="X26" s="8">
        <f t="shared" si="1"/>
        <v>25176.35</v>
      </c>
      <c r="Y26" s="8">
        <f t="shared" si="1"/>
        <v>17513.084230467881</v>
      </c>
      <c r="Z26" s="10">
        <f t="shared" si="2"/>
        <v>7663.2657695321177</v>
      </c>
      <c r="AA26" s="25">
        <f t="shared" si="5"/>
        <v>-251.76349999999999</v>
      </c>
      <c r="AB26" s="7"/>
      <c r="AC26" s="7"/>
      <c r="AD26" s="7"/>
      <c r="AE26" s="7"/>
      <c r="AF26" s="7"/>
      <c r="AG26" s="7"/>
      <c r="AH26" s="7">
        <v>-264.89999999999998</v>
      </c>
      <c r="AI26" s="10">
        <f t="shared" si="4"/>
        <v>7146.602269532118</v>
      </c>
    </row>
    <row r="27" spans="1:35" ht="18.75" x14ac:dyDescent="0.3">
      <c r="A27" s="43" t="s">
        <v>122</v>
      </c>
      <c r="B27" s="46">
        <v>4678.96</v>
      </c>
      <c r="C27" s="46">
        <v>4094.09</v>
      </c>
      <c r="D27" s="46">
        <v>4329.5199488618209</v>
      </c>
      <c r="E27" s="7">
        <v>6546.2</v>
      </c>
      <c r="F27" s="7">
        <v>6344.74</v>
      </c>
      <c r="G27" s="7">
        <v>10762.78</v>
      </c>
      <c r="H27" s="8"/>
      <c r="I27" s="8"/>
      <c r="J27" s="8"/>
      <c r="K27" s="7">
        <v>0</v>
      </c>
      <c r="L27" s="7">
        <v>413.31</v>
      </c>
      <c r="M27" s="7">
        <v>0</v>
      </c>
      <c r="N27" s="8">
        <f t="shared" si="0"/>
        <v>11225.16</v>
      </c>
      <c r="O27" s="8">
        <f t="shared" si="0"/>
        <v>10852.14</v>
      </c>
      <c r="P27" s="8">
        <f t="shared" si="0"/>
        <v>15092.299948861822</v>
      </c>
      <c r="Q27" s="7"/>
      <c r="R27" s="7"/>
      <c r="S27" s="7"/>
      <c r="T27" s="7"/>
      <c r="U27" s="7">
        <v>620.76</v>
      </c>
      <c r="V27" s="7">
        <v>41.3</v>
      </c>
      <c r="W27" s="8">
        <f t="shared" si="1"/>
        <v>11225.16</v>
      </c>
      <c r="X27" s="8">
        <f t="shared" si="1"/>
        <v>11472.9</v>
      </c>
      <c r="Y27" s="8">
        <f t="shared" si="1"/>
        <v>15133.599948861822</v>
      </c>
      <c r="Z27" s="10">
        <f t="shared" si="2"/>
        <v>-3660.6999488618221</v>
      </c>
      <c r="AA27" s="25">
        <v>-108.52</v>
      </c>
      <c r="AB27" s="7"/>
      <c r="AC27" s="7"/>
      <c r="AD27" s="7"/>
      <c r="AE27" s="7"/>
      <c r="AF27" s="7"/>
      <c r="AG27" s="7"/>
      <c r="AH27" s="7">
        <v>-269.33</v>
      </c>
      <c r="AI27" s="10">
        <f t="shared" si="4"/>
        <v>-4038.549948861822</v>
      </c>
    </row>
    <row r="28" spans="1:35" ht="18.75" x14ac:dyDescent="0.3">
      <c r="A28" s="43" t="s">
        <v>123</v>
      </c>
      <c r="B28" s="46">
        <v>3063.12</v>
      </c>
      <c r="C28" s="46">
        <v>2680.23</v>
      </c>
      <c r="D28" s="46">
        <v>2834.3590451214423</v>
      </c>
      <c r="E28" s="7">
        <v>6716.46</v>
      </c>
      <c r="F28" s="7">
        <v>2614.86</v>
      </c>
      <c r="G28" s="7">
        <v>7045.96</v>
      </c>
      <c r="H28" s="8">
        <v>1736.84</v>
      </c>
      <c r="I28" s="8">
        <v>6024.76</v>
      </c>
      <c r="J28" s="8">
        <v>11170.02</v>
      </c>
      <c r="K28" s="7">
        <v>0</v>
      </c>
      <c r="L28" s="7">
        <v>0</v>
      </c>
      <c r="M28" s="7">
        <v>0</v>
      </c>
      <c r="N28" s="8">
        <f t="shared" si="0"/>
        <v>11516.42</v>
      </c>
      <c r="O28" s="8">
        <f t="shared" si="0"/>
        <v>11319.85</v>
      </c>
      <c r="P28" s="8">
        <f t="shared" si="0"/>
        <v>21050.339045121444</v>
      </c>
      <c r="Q28" s="7"/>
      <c r="R28" s="7"/>
      <c r="S28" s="7"/>
      <c r="T28" s="7"/>
      <c r="U28" s="7"/>
      <c r="V28" s="7"/>
      <c r="W28" s="8">
        <f t="shared" si="1"/>
        <v>11516.42</v>
      </c>
      <c r="X28" s="8">
        <f t="shared" si="1"/>
        <v>11319.85</v>
      </c>
      <c r="Y28" s="8">
        <f t="shared" si="1"/>
        <v>21050.339045121444</v>
      </c>
      <c r="Z28" s="10">
        <f t="shared" si="2"/>
        <v>-9730.4890451214433</v>
      </c>
      <c r="AA28" s="25">
        <f t="shared" si="5"/>
        <v>-113.19850000000001</v>
      </c>
      <c r="AB28" s="7">
        <v>-673.17</v>
      </c>
      <c r="AC28" s="7"/>
      <c r="AD28" s="7"/>
      <c r="AE28" s="7"/>
      <c r="AF28" s="7">
        <f t="shared" si="3"/>
        <v>-673.17</v>
      </c>
      <c r="AG28" s="7"/>
      <c r="AH28" s="7">
        <v>-176.32</v>
      </c>
      <c r="AI28" s="10">
        <f t="shared" si="4"/>
        <v>-10693.177545121443</v>
      </c>
    </row>
    <row r="29" spans="1:35" ht="18.75" x14ac:dyDescent="0.3">
      <c r="A29" s="19" t="s">
        <v>124</v>
      </c>
      <c r="B29" s="46">
        <v>18069.04</v>
      </c>
      <c r="C29" s="46">
        <v>13640.75</v>
      </c>
      <c r="D29" s="46">
        <v>11751.128149130185</v>
      </c>
      <c r="E29" s="7">
        <v>33940.559999999998</v>
      </c>
      <c r="F29" s="7">
        <v>34771.879999999997</v>
      </c>
      <c r="G29" s="7">
        <v>21889.66</v>
      </c>
      <c r="H29" s="8">
        <v>34829.64</v>
      </c>
      <c r="I29" s="8">
        <v>25317.03</v>
      </c>
      <c r="J29" s="8">
        <v>39270.07</v>
      </c>
      <c r="K29" s="7">
        <v>37129.14</v>
      </c>
      <c r="L29" s="7">
        <v>44617.820000000007</v>
      </c>
      <c r="M29" s="7">
        <v>42062.84</v>
      </c>
      <c r="N29" s="8">
        <f t="shared" si="0"/>
        <v>123968.37999999999</v>
      </c>
      <c r="O29" s="8">
        <f t="shared" si="0"/>
        <v>118347.48000000001</v>
      </c>
      <c r="P29" s="8">
        <f t="shared" si="0"/>
        <v>114973.69814913018</v>
      </c>
      <c r="Q29" s="7"/>
      <c r="R29" s="7"/>
      <c r="S29" s="7"/>
      <c r="T29" s="7">
        <v>39428.639999999999</v>
      </c>
      <c r="U29" s="7">
        <v>30561.43</v>
      </c>
      <c r="V29" s="7">
        <v>38864.86</v>
      </c>
      <c r="W29" s="8">
        <f t="shared" si="1"/>
        <v>163397.01999999999</v>
      </c>
      <c r="X29" s="8">
        <f t="shared" si="1"/>
        <v>148908.91</v>
      </c>
      <c r="Y29" s="8">
        <f t="shared" si="1"/>
        <v>153838.5581491302</v>
      </c>
      <c r="Z29" s="10">
        <f t="shared" si="2"/>
        <v>-4929.6481491301965</v>
      </c>
      <c r="AA29" s="25">
        <v>-1183.47</v>
      </c>
      <c r="AB29" s="7">
        <v>-2180.25</v>
      </c>
      <c r="AC29" s="7">
        <f>-(4079.74+854.15)</f>
        <v>-4933.8899999999994</v>
      </c>
      <c r="AD29" s="7">
        <f>-(2950.65+5280.29)</f>
        <v>-8230.94</v>
      </c>
      <c r="AE29" s="7">
        <v>-2560.27</v>
      </c>
      <c r="AF29" s="7">
        <f t="shared" si="3"/>
        <v>-17905.349999999999</v>
      </c>
      <c r="AG29" s="7"/>
      <c r="AH29" s="7">
        <v>-717.38</v>
      </c>
      <c r="AI29" s="10">
        <f t="shared" si="4"/>
        <v>-24735.848149130197</v>
      </c>
    </row>
    <row r="30" spans="1:35" ht="18.75" x14ac:dyDescent="0.3">
      <c r="A30" s="28" t="s">
        <v>101</v>
      </c>
      <c r="B30" s="45">
        <f>75374.22+7950.86</f>
        <v>83325.08</v>
      </c>
      <c r="C30" s="46">
        <f>66127.13+6773.17</f>
        <v>72900.3</v>
      </c>
      <c r="D30" s="46">
        <f>67777.5976553404+2025.98</f>
        <v>69803.577655340399</v>
      </c>
      <c r="E30" s="7">
        <f>102923.5+8674.2</f>
        <v>111597.7</v>
      </c>
      <c r="F30" s="7">
        <v>98079.87</v>
      </c>
      <c r="G30" s="7">
        <v>95198.99</v>
      </c>
      <c r="H30" s="8">
        <v>121988.56</v>
      </c>
      <c r="I30" s="8">
        <v>123473.32</v>
      </c>
      <c r="J30" s="8">
        <v>117147.87</v>
      </c>
      <c r="K30" s="7">
        <v>126728.51999999999</v>
      </c>
      <c r="L30" s="7">
        <v>128050.66877092165</v>
      </c>
      <c r="M30" s="7">
        <v>124668.87999999999</v>
      </c>
      <c r="N30" s="8">
        <f t="shared" si="0"/>
        <v>443639.86</v>
      </c>
      <c r="O30" s="8">
        <f t="shared" si="0"/>
        <v>422504.15877092164</v>
      </c>
      <c r="P30" s="8">
        <f t="shared" si="0"/>
        <v>406819.31765534042</v>
      </c>
      <c r="Q30" s="8">
        <v>199613.84</v>
      </c>
      <c r="R30" s="8">
        <v>197002.27000000002</v>
      </c>
      <c r="S30" s="8">
        <v>20640.739999999998</v>
      </c>
      <c r="T30" s="7">
        <v>183890.37</v>
      </c>
      <c r="U30" s="7">
        <v>184705.37</v>
      </c>
      <c r="V30" s="7">
        <v>123463.16</v>
      </c>
      <c r="W30" s="8">
        <f t="shared" si="1"/>
        <v>827144.07</v>
      </c>
      <c r="X30" s="8">
        <f t="shared" si="1"/>
        <v>804211.79877092165</v>
      </c>
      <c r="Y30" s="8">
        <f t="shared" si="1"/>
        <v>550923.21765534044</v>
      </c>
      <c r="Z30" s="10">
        <f t="shared" si="2"/>
        <v>253288.58111558121</v>
      </c>
      <c r="AA30" s="25">
        <v>-6540.73</v>
      </c>
      <c r="AB30" s="7"/>
      <c r="AC30" s="7"/>
      <c r="AD30" s="7"/>
      <c r="AE30" s="7">
        <f>-(2702.27+3492.77)</f>
        <v>-6195.04</v>
      </c>
      <c r="AF30" s="7">
        <f t="shared" si="3"/>
        <v>-6195.04</v>
      </c>
      <c r="AG30" s="7">
        <v>-568.95000000000005</v>
      </c>
      <c r="AH30" s="7">
        <v>-1996.47</v>
      </c>
      <c r="AI30" s="10">
        <f t="shared" si="4"/>
        <v>237987.39111558118</v>
      </c>
    </row>
    <row r="31" spans="1:35" ht="18.75" x14ac:dyDescent="0.3">
      <c r="A31" s="28" t="s">
        <v>102</v>
      </c>
      <c r="B31" s="45">
        <f>74493.25+7857.93</f>
        <v>82351.179999999993</v>
      </c>
      <c r="C31" s="46">
        <f>61055.32+6440.47</f>
        <v>67495.789999999994</v>
      </c>
      <c r="D31" s="46">
        <f>67016.2195000031+2002.43</f>
        <v>69018.649500003099</v>
      </c>
      <c r="E31" s="7">
        <f>101720.71+8571.6</f>
        <v>110292.31000000001</v>
      </c>
      <c r="F31" s="7">
        <v>111035.6</v>
      </c>
      <c r="G31" s="7">
        <v>96005.71</v>
      </c>
      <c r="H31" s="8">
        <v>120304.27</v>
      </c>
      <c r="I31" s="8">
        <v>110659.34</v>
      </c>
      <c r="J31" s="8">
        <v>115422.55</v>
      </c>
      <c r="K31" s="7">
        <v>125383.67999999998</v>
      </c>
      <c r="L31" s="7">
        <v>126636.29653524634</v>
      </c>
      <c r="M31" s="7">
        <v>123649.32999999999</v>
      </c>
      <c r="N31" s="8">
        <f t="shared" si="0"/>
        <v>438331.44</v>
      </c>
      <c r="O31" s="8">
        <f t="shared" si="0"/>
        <v>415827.02653524629</v>
      </c>
      <c r="P31" s="8">
        <f t="shared" si="0"/>
        <v>404096.23950000305</v>
      </c>
      <c r="Q31" s="8">
        <v>194298.64</v>
      </c>
      <c r="R31" s="8">
        <v>192717.29</v>
      </c>
      <c r="S31" s="8">
        <v>18191.599999999999</v>
      </c>
      <c r="T31" s="7">
        <v>181881.7</v>
      </c>
      <c r="U31" s="7">
        <v>171331.08</v>
      </c>
      <c r="V31" s="7">
        <v>125306.81</v>
      </c>
      <c r="W31" s="8">
        <f t="shared" si="1"/>
        <v>814511.78</v>
      </c>
      <c r="X31" s="8">
        <f t="shared" si="1"/>
        <v>779875.39653524628</v>
      </c>
      <c r="Y31" s="8">
        <f t="shared" si="1"/>
        <v>547594.64950000308</v>
      </c>
      <c r="Z31" s="10">
        <f t="shared" si="2"/>
        <v>232280.7470352432</v>
      </c>
      <c r="AA31" s="25">
        <v>-6406.72</v>
      </c>
      <c r="AB31" s="7">
        <v>-137.66</v>
      </c>
      <c r="AC31" s="7">
        <v>-11129.21</v>
      </c>
      <c r="AD31" s="7">
        <v>-7493.72</v>
      </c>
      <c r="AE31" s="7">
        <f>-(3838.66+6639.96)</f>
        <v>-10478.619999999999</v>
      </c>
      <c r="AF31" s="7">
        <f t="shared" si="3"/>
        <v>-29239.21</v>
      </c>
      <c r="AG31" s="7">
        <v>-690.84</v>
      </c>
      <c r="AH31" s="7">
        <v>-1973.27</v>
      </c>
      <c r="AI31" s="10">
        <f t="shared" si="4"/>
        <v>193970.70703524322</v>
      </c>
    </row>
    <row r="32" spans="1:35" ht="18.75" x14ac:dyDescent="0.3">
      <c r="A32" s="28" t="s">
        <v>125</v>
      </c>
      <c r="B32" s="45">
        <v>1492.15</v>
      </c>
      <c r="C32" s="46">
        <v>1440.26</v>
      </c>
      <c r="D32" s="46">
        <v>1826.7488200937619</v>
      </c>
      <c r="E32" s="7">
        <v>2227.08</v>
      </c>
      <c r="F32" s="7">
        <v>1924.84</v>
      </c>
      <c r="G32" s="7">
        <v>5198.5</v>
      </c>
      <c r="H32" s="8">
        <v>2286.36</v>
      </c>
      <c r="I32" s="8">
        <v>1454.14</v>
      </c>
      <c r="J32" s="8">
        <v>8343.25</v>
      </c>
      <c r="K32" s="7">
        <v>1866.84</v>
      </c>
      <c r="L32" s="7">
        <v>1598.62</v>
      </c>
      <c r="M32" s="7">
        <v>3986.98</v>
      </c>
      <c r="N32" s="8">
        <f t="shared" si="0"/>
        <v>7872.43</v>
      </c>
      <c r="O32" s="8">
        <f t="shared" si="0"/>
        <v>6417.86</v>
      </c>
      <c r="P32" s="8">
        <f t="shared" si="0"/>
        <v>19355.478820093762</v>
      </c>
      <c r="Q32" s="7"/>
      <c r="R32" s="7"/>
      <c r="S32" s="7"/>
      <c r="T32" s="7">
        <v>3734.88</v>
      </c>
      <c r="U32" s="7">
        <v>3311.28</v>
      </c>
      <c r="V32" s="7">
        <v>3047.5</v>
      </c>
      <c r="W32" s="8">
        <f t="shared" si="1"/>
        <v>11607.310000000001</v>
      </c>
      <c r="X32" s="8">
        <f t="shared" si="1"/>
        <v>9729.14</v>
      </c>
      <c r="Y32" s="8">
        <f t="shared" si="1"/>
        <v>22402.978820093762</v>
      </c>
      <c r="Z32" s="10">
        <f t="shared" si="2"/>
        <v>-12673.838820093762</v>
      </c>
      <c r="AA32" s="25">
        <v>-64.180000000000007</v>
      </c>
      <c r="AB32" s="7"/>
      <c r="AC32" s="7"/>
      <c r="AD32" s="7"/>
      <c r="AE32" s="7"/>
      <c r="AF32" s="7">
        <f t="shared" si="3"/>
        <v>0</v>
      </c>
      <c r="AG32" s="7">
        <v>-200</v>
      </c>
      <c r="AH32" s="7">
        <v>-170.37</v>
      </c>
      <c r="AI32" s="10">
        <f t="shared" si="4"/>
        <v>-13108.388820093764</v>
      </c>
    </row>
    <row r="33" spans="1:35" ht="18.75" x14ac:dyDescent="0.3">
      <c r="A33" s="28" t="s">
        <v>126</v>
      </c>
      <c r="B33" s="45">
        <v>3718</v>
      </c>
      <c r="C33" s="46">
        <v>3380</v>
      </c>
      <c r="D33" s="46">
        <v>2131.8840711004486</v>
      </c>
      <c r="E33" s="7">
        <v>5121.6000000000004</v>
      </c>
      <c r="F33" s="7">
        <v>5099.2</v>
      </c>
      <c r="G33" s="7">
        <v>3371.27</v>
      </c>
      <c r="H33" s="8">
        <v>5256</v>
      </c>
      <c r="I33" s="8">
        <v>5256</v>
      </c>
      <c r="J33" s="8">
        <v>5894.75</v>
      </c>
      <c r="K33" s="7">
        <v>5342</v>
      </c>
      <c r="L33" s="7">
        <v>5324.8</v>
      </c>
      <c r="M33" s="7">
        <v>2663.7899999999995</v>
      </c>
      <c r="N33" s="8">
        <f t="shared" si="0"/>
        <v>19437.599999999999</v>
      </c>
      <c r="O33" s="8">
        <f t="shared" si="0"/>
        <v>19060</v>
      </c>
      <c r="P33" s="8">
        <f t="shared" si="0"/>
        <v>14061.694071100448</v>
      </c>
      <c r="Q33" s="7"/>
      <c r="R33" s="7"/>
      <c r="S33" s="7"/>
      <c r="T33" s="7">
        <v>5462.4</v>
      </c>
      <c r="U33" s="7">
        <v>5462.4</v>
      </c>
      <c r="V33" s="7">
        <v>2066.73</v>
      </c>
      <c r="W33" s="8">
        <f t="shared" si="1"/>
        <v>24900</v>
      </c>
      <c r="X33" s="8">
        <f t="shared" si="1"/>
        <v>24522.400000000001</v>
      </c>
      <c r="Y33" s="8">
        <f t="shared" si="1"/>
        <v>16128.424071100448</v>
      </c>
      <c r="Z33" s="10">
        <f t="shared" si="2"/>
        <v>8393.9759288995538</v>
      </c>
      <c r="AA33" s="25">
        <v>-190.6</v>
      </c>
      <c r="AB33" s="7"/>
      <c r="AC33" s="7"/>
      <c r="AD33" s="7"/>
      <c r="AE33" s="7"/>
      <c r="AF33" s="7">
        <f t="shared" si="3"/>
        <v>0</v>
      </c>
      <c r="AG33" s="7"/>
      <c r="AH33" s="7">
        <v>-110.49</v>
      </c>
      <c r="AI33" s="10">
        <f t="shared" si="4"/>
        <v>8092.8859288995536</v>
      </c>
    </row>
    <row r="34" spans="1:35" ht="18.75" x14ac:dyDescent="0.3">
      <c r="A34" s="28" t="s">
        <v>103</v>
      </c>
      <c r="B34" s="45">
        <f>74692.64+7878.97</f>
        <v>82571.61</v>
      </c>
      <c r="C34" s="46">
        <f>62059.95+6546.44</f>
        <v>68606.39</v>
      </c>
      <c r="D34" s="46">
        <f>72388.0927366769+2007.67</f>
        <v>74395.762736676901</v>
      </c>
      <c r="E34" s="7">
        <f>101998.08+8595.25</f>
        <v>110593.33</v>
      </c>
      <c r="F34" s="7">
        <v>95485.04</v>
      </c>
      <c r="G34" s="7">
        <v>101233.66</v>
      </c>
      <c r="H34" s="8">
        <v>120766.96</v>
      </c>
      <c r="I34" s="8">
        <v>108209.59</v>
      </c>
      <c r="J34" s="8">
        <v>115022.17</v>
      </c>
      <c r="K34" s="7">
        <v>125648.5</v>
      </c>
      <c r="L34" s="7">
        <v>128533.89816375567</v>
      </c>
      <c r="M34" s="7">
        <v>121342.12999999999</v>
      </c>
      <c r="N34" s="8">
        <f t="shared" si="0"/>
        <v>439580.4</v>
      </c>
      <c r="O34" s="8">
        <f t="shared" si="0"/>
        <v>400834.91816375568</v>
      </c>
      <c r="P34" s="8">
        <f t="shared" si="0"/>
        <v>411993.72273667692</v>
      </c>
      <c r="Q34" s="8">
        <v>194825.44</v>
      </c>
      <c r="R34" s="8">
        <v>188430.51</v>
      </c>
      <c r="S34" s="8">
        <v>24356.430000000004</v>
      </c>
      <c r="T34" s="7">
        <v>182294.67</v>
      </c>
      <c r="U34" s="7">
        <v>166894.74</v>
      </c>
      <c r="V34" s="7">
        <v>188088.37</v>
      </c>
      <c r="W34" s="8">
        <f t="shared" si="1"/>
        <v>816700.51000000013</v>
      </c>
      <c r="X34" s="8">
        <f t="shared" si="1"/>
        <v>756160.16816375568</v>
      </c>
      <c r="Y34" s="8">
        <f t="shared" si="1"/>
        <v>624438.52273667697</v>
      </c>
      <c r="Z34" s="10">
        <f t="shared" si="2"/>
        <v>131721.64542707871</v>
      </c>
      <c r="AA34" s="25">
        <v>-5892.65</v>
      </c>
      <c r="AB34" s="7">
        <v>-30109.02</v>
      </c>
      <c r="AC34" s="7">
        <v>-3523.59</v>
      </c>
      <c r="AD34" s="7">
        <v>-6124.06</v>
      </c>
      <c r="AE34" s="7">
        <v>-3643.07</v>
      </c>
      <c r="AF34" s="7">
        <f t="shared" si="3"/>
        <v>-43399.74</v>
      </c>
      <c r="AG34" s="7">
        <v>-725.7</v>
      </c>
      <c r="AH34" s="7">
        <v>-1978.43</v>
      </c>
      <c r="AI34" s="10">
        <f t="shared" si="4"/>
        <v>79725.125427078732</v>
      </c>
    </row>
    <row r="35" spans="1:35" ht="18.75" x14ac:dyDescent="0.3">
      <c r="A35" s="28" t="s">
        <v>127</v>
      </c>
      <c r="B35" s="46">
        <v>5705.44</v>
      </c>
      <c r="C35" s="46">
        <v>2523.2199999999998</v>
      </c>
      <c r="D35" s="46">
        <v>3763.5389165027646</v>
      </c>
      <c r="E35" s="7">
        <v>10809.24</v>
      </c>
      <c r="F35" s="7">
        <v>14941.95</v>
      </c>
      <c r="G35" s="7">
        <v>7121.81</v>
      </c>
      <c r="H35" s="8">
        <v>11093.16</v>
      </c>
      <c r="I35" s="8">
        <v>9804.06</v>
      </c>
      <c r="J35" s="8">
        <v>12452.66</v>
      </c>
      <c r="K35" s="7">
        <v>11093.16</v>
      </c>
      <c r="L35" s="7">
        <v>11674.17</v>
      </c>
      <c r="M35" s="7">
        <v>5623.66</v>
      </c>
      <c r="N35" s="8">
        <f t="shared" si="0"/>
        <v>38701</v>
      </c>
      <c r="O35" s="8">
        <f t="shared" si="0"/>
        <v>38943.4</v>
      </c>
      <c r="P35" s="8">
        <f t="shared" si="0"/>
        <v>28961.668916502764</v>
      </c>
      <c r="Q35" s="7"/>
      <c r="R35" s="7"/>
      <c r="S35" s="7"/>
      <c r="T35" s="7">
        <v>11093.16</v>
      </c>
      <c r="U35" s="7">
        <v>10686.68</v>
      </c>
      <c r="V35" s="7">
        <v>4348.97</v>
      </c>
      <c r="W35" s="8">
        <f t="shared" si="1"/>
        <v>49794.16</v>
      </c>
      <c r="X35" s="8">
        <f t="shared" si="1"/>
        <v>49630.080000000002</v>
      </c>
      <c r="Y35" s="8">
        <f t="shared" si="1"/>
        <v>33310.638916502765</v>
      </c>
      <c r="Z35" s="10">
        <f t="shared" si="2"/>
        <v>16319.441083497237</v>
      </c>
      <c r="AA35" s="25">
        <v>-968.53</v>
      </c>
      <c r="AB35" s="7"/>
      <c r="AC35" s="7"/>
      <c r="AD35" s="7"/>
      <c r="AE35" s="7"/>
      <c r="AF35" s="7">
        <f t="shared" si="3"/>
        <v>0</v>
      </c>
      <c r="AG35" s="7">
        <v>-279.57</v>
      </c>
      <c r="AH35" s="7">
        <v>-233.4</v>
      </c>
      <c r="AI35" s="10">
        <f t="shared" si="4"/>
        <v>14837.941083497237</v>
      </c>
    </row>
    <row r="36" spans="1:35" ht="18.75" x14ac:dyDescent="0.3">
      <c r="A36" s="28" t="s">
        <v>104</v>
      </c>
      <c r="B36" s="45">
        <f>74508.17+7859.5</f>
        <v>82367.67</v>
      </c>
      <c r="C36" s="46">
        <f>61337.02+6470.15</f>
        <v>67807.17</v>
      </c>
      <c r="D36" s="46">
        <f>67146.1000112422+2002.71</f>
        <v>69148.810011242211</v>
      </c>
      <c r="E36" s="7">
        <f>101748.86+8574</f>
        <v>110322.86</v>
      </c>
      <c r="F36" s="7">
        <v>93650.84</v>
      </c>
      <c r="G36" s="7">
        <v>94112.05</v>
      </c>
      <c r="H36" s="8">
        <v>122129.81</v>
      </c>
      <c r="I36" s="8">
        <v>104746.84</v>
      </c>
      <c r="J36" s="8">
        <v>119850.85</v>
      </c>
      <c r="K36" s="7">
        <v>125425.75999999998</v>
      </c>
      <c r="L36" s="7">
        <v>126165.96134320641</v>
      </c>
      <c r="M36" s="7">
        <v>121185.81</v>
      </c>
      <c r="N36" s="8">
        <f t="shared" si="0"/>
        <v>440246.1</v>
      </c>
      <c r="O36" s="8">
        <f t="shared" si="0"/>
        <v>392370.81134320638</v>
      </c>
      <c r="P36" s="8">
        <f t="shared" si="0"/>
        <v>404297.52001124219</v>
      </c>
      <c r="Q36" s="8">
        <v>194344</v>
      </c>
      <c r="R36" s="8">
        <v>187259.04</v>
      </c>
      <c r="S36" s="8">
        <v>3488.47</v>
      </c>
      <c r="T36" s="7">
        <v>181932.56</v>
      </c>
      <c r="U36" s="7">
        <v>142379.39000000001</v>
      </c>
      <c r="V36" s="7">
        <v>141946.06</v>
      </c>
      <c r="W36" s="8">
        <f t="shared" si="1"/>
        <v>816522.65999999992</v>
      </c>
      <c r="X36" s="8">
        <f t="shared" si="1"/>
        <v>722009.24134320638</v>
      </c>
      <c r="Y36" s="8">
        <f t="shared" si="1"/>
        <v>549732.05001124216</v>
      </c>
      <c r="Z36" s="10">
        <f t="shared" si="2"/>
        <v>172277.19133196422</v>
      </c>
      <c r="AA36" s="25">
        <v>-5217</v>
      </c>
      <c r="AB36" s="7">
        <v>-18928.080000000002</v>
      </c>
      <c r="AC36" s="7">
        <f>-(4005.96+9315.06)</f>
        <v>-13321.02</v>
      </c>
      <c r="AD36" s="7">
        <f>-(1601.85+33213.99)</f>
        <v>-34815.839999999997</v>
      </c>
      <c r="AE36" s="7">
        <f>-(5496.78+11025.46)</f>
        <v>-16522.239999999998</v>
      </c>
      <c r="AF36" s="7">
        <f t="shared" si="3"/>
        <v>-83587.179999999993</v>
      </c>
      <c r="AG36" s="7">
        <v>-2175.9299999999998</v>
      </c>
      <c r="AH36" s="7">
        <v>-1973.55</v>
      </c>
      <c r="AI36" s="10">
        <f t="shared" si="4"/>
        <v>79323.53133196423</v>
      </c>
    </row>
    <row r="37" spans="1:35" ht="18.75" x14ac:dyDescent="0.3">
      <c r="A37" s="28" t="s">
        <v>128</v>
      </c>
      <c r="B37" s="46">
        <v>3088.8</v>
      </c>
      <c r="C37" s="46">
        <v>2702.7</v>
      </c>
      <c r="D37" s="46">
        <v>2029.4847986510204</v>
      </c>
      <c r="E37" s="7">
        <v>5841.84</v>
      </c>
      <c r="F37" s="7">
        <v>1422.36</v>
      </c>
      <c r="G37" s="7">
        <v>3823.86</v>
      </c>
      <c r="H37" s="8">
        <v>5994.24</v>
      </c>
      <c r="I37" s="8">
        <v>3367.28</v>
      </c>
      <c r="J37" s="8">
        <v>6686.14</v>
      </c>
      <c r="K37" s="7">
        <v>5994.24</v>
      </c>
      <c r="L37" s="7">
        <v>12956.81</v>
      </c>
      <c r="M37" s="7">
        <v>3026.54</v>
      </c>
      <c r="N37" s="8">
        <f t="shared" si="0"/>
        <v>20919.12</v>
      </c>
      <c r="O37" s="8">
        <f t="shared" si="0"/>
        <v>20449.150000000001</v>
      </c>
      <c r="P37" s="8">
        <f t="shared" si="0"/>
        <v>15566.024798651022</v>
      </c>
      <c r="Q37" s="7"/>
      <c r="R37" s="7"/>
      <c r="S37" s="7"/>
      <c r="T37" s="7">
        <v>5994.24</v>
      </c>
      <c r="U37" s="7">
        <v>5933.58</v>
      </c>
      <c r="V37" s="7">
        <v>2337.7800000000002</v>
      </c>
      <c r="W37" s="8">
        <f t="shared" si="1"/>
        <v>26913.360000000001</v>
      </c>
      <c r="X37" s="8">
        <f t="shared" si="1"/>
        <v>26382.730000000003</v>
      </c>
      <c r="Y37" s="8">
        <f t="shared" si="1"/>
        <v>17903.804798651021</v>
      </c>
      <c r="Z37" s="10">
        <f t="shared" si="2"/>
        <v>8478.9252013489822</v>
      </c>
      <c r="AA37" s="25">
        <v>-204.49</v>
      </c>
      <c r="AB37" s="7">
        <v>-4264.4799999999996</v>
      </c>
      <c r="AC37" s="7">
        <v>-3515.43</v>
      </c>
      <c r="AD37" s="7">
        <v>-6773.13</v>
      </c>
      <c r="AE37" s="7"/>
      <c r="AF37" s="7">
        <f t="shared" si="3"/>
        <v>-14553.04</v>
      </c>
      <c r="AG37" s="7"/>
      <c r="AH37" s="7">
        <v>-125.32</v>
      </c>
      <c r="AI37" s="10">
        <f t="shared" si="4"/>
        <v>-6403.9247986510181</v>
      </c>
    </row>
    <row r="38" spans="1:35" ht="18.75" x14ac:dyDescent="0.3">
      <c r="A38" s="28" t="s">
        <v>105</v>
      </c>
      <c r="B38" s="45">
        <f>74462.52+7854.69</f>
        <v>82317.210000000006</v>
      </c>
      <c r="C38" s="46">
        <f>60563.48+6388.55</f>
        <v>66952.03</v>
      </c>
      <c r="D38" s="46">
        <f>72144.5131316961+2001.34</f>
        <v>74145.853131696102</v>
      </c>
      <c r="E38" s="7">
        <f>101792.9+8578.89</f>
        <v>110371.79</v>
      </c>
      <c r="F38" s="7">
        <v>99634.36</v>
      </c>
      <c r="G38" s="7">
        <v>94857.02</v>
      </c>
      <c r="H38" s="8">
        <v>120777.81</v>
      </c>
      <c r="I38" s="8">
        <v>120318.27</v>
      </c>
      <c r="J38" s="8">
        <v>119425.12</v>
      </c>
      <c r="K38" s="7">
        <v>125586.50999999998</v>
      </c>
      <c r="L38" s="7">
        <v>120104.25232543948</v>
      </c>
      <c r="M38" s="7">
        <v>122033.59</v>
      </c>
      <c r="N38" s="8">
        <f t="shared" si="0"/>
        <v>439053.31999999995</v>
      </c>
      <c r="O38" s="8">
        <f t="shared" si="0"/>
        <v>407008.91232543951</v>
      </c>
      <c r="P38" s="8">
        <f t="shared" si="0"/>
        <v>410461.5831316961</v>
      </c>
      <c r="Q38" s="8">
        <v>194351</v>
      </c>
      <c r="R38" s="8">
        <v>191396.37</v>
      </c>
      <c r="S38" s="8">
        <v>2542.39</v>
      </c>
      <c r="T38" s="7">
        <v>182061.22</v>
      </c>
      <c r="U38" s="7">
        <v>171673.94</v>
      </c>
      <c r="V38" s="7">
        <v>275275.7</v>
      </c>
      <c r="W38" s="8">
        <f t="shared" si="1"/>
        <v>815465.53999999992</v>
      </c>
      <c r="X38" s="8">
        <f t="shared" si="1"/>
        <v>770079.22232543956</v>
      </c>
      <c r="Y38" s="8">
        <f t="shared" si="1"/>
        <v>688279.67313169618</v>
      </c>
      <c r="Z38" s="10">
        <f t="shared" si="2"/>
        <v>81799.549193743384</v>
      </c>
      <c r="AA38" s="25">
        <v>-5984.06</v>
      </c>
      <c r="AB38" s="7">
        <v>-804.03</v>
      </c>
      <c r="AC38" s="7">
        <v>-4919.67</v>
      </c>
      <c r="AD38" s="7"/>
      <c r="AE38" s="7">
        <v>-5457.07</v>
      </c>
      <c r="AF38" s="7">
        <f t="shared" si="3"/>
        <v>-11180.77</v>
      </c>
      <c r="AG38" s="7">
        <v>-1402.04</v>
      </c>
      <c r="AH38" s="7">
        <v>-1972.19</v>
      </c>
      <c r="AI38" s="10">
        <f t="shared" si="4"/>
        <v>61260.489193743379</v>
      </c>
    </row>
    <row r="39" spans="1:35" ht="18.75" x14ac:dyDescent="0.3">
      <c r="A39" s="28" t="s">
        <v>129</v>
      </c>
      <c r="B39" s="45">
        <v>7168.15</v>
      </c>
      <c r="C39" s="46">
        <v>6516.5</v>
      </c>
      <c r="D39" s="46">
        <v>4112.1350844160352</v>
      </c>
      <c r="E39" s="7">
        <v>9876.7199999999993</v>
      </c>
      <c r="F39" s="7">
        <v>9833.48</v>
      </c>
      <c r="G39" s="7">
        <v>6507.4</v>
      </c>
      <c r="H39" s="8">
        <v>10136.16</v>
      </c>
      <c r="I39" s="8">
        <v>10136.16</v>
      </c>
      <c r="J39" s="8">
        <v>11378.3</v>
      </c>
      <c r="K39" s="7">
        <v>10302.16</v>
      </c>
      <c r="L39" s="7">
        <v>10268.959999999999</v>
      </c>
      <c r="M39" s="7">
        <v>5141.67</v>
      </c>
      <c r="N39" s="8">
        <f t="shared" si="0"/>
        <v>37483.19</v>
      </c>
      <c r="O39" s="8">
        <f t="shared" si="0"/>
        <v>36755.1</v>
      </c>
      <c r="P39" s="8">
        <f t="shared" si="0"/>
        <v>27139.505084416036</v>
      </c>
      <c r="Q39" s="7"/>
      <c r="R39" s="7"/>
      <c r="S39" s="7"/>
      <c r="T39" s="7">
        <v>10534.56</v>
      </c>
      <c r="U39" s="7">
        <v>10534.56</v>
      </c>
      <c r="V39" s="7">
        <v>3988.89</v>
      </c>
      <c r="W39" s="8">
        <f t="shared" si="1"/>
        <v>48017.75</v>
      </c>
      <c r="X39" s="8">
        <f t="shared" si="1"/>
        <v>47289.659999999996</v>
      </c>
      <c r="Y39" s="8">
        <f t="shared" si="1"/>
        <v>31128.395084416035</v>
      </c>
      <c r="Z39" s="10">
        <f t="shared" si="2"/>
        <v>16161.264915583961</v>
      </c>
      <c r="AA39" s="25">
        <v>-367.55</v>
      </c>
      <c r="AB39" s="7"/>
      <c r="AC39" s="7"/>
      <c r="AD39" s="7"/>
      <c r="AE39" s="7"/>
      <c r="AF39" s="7">
        <f t="shared" si="3"/>
        <v>0</v>
      </c>
      <c r="AG39" s="7"/>
      <c r="AH39" s="7">
        <v>-213.26</v>
      </c>
      <c r="AI39" s="10">
        <f t="shared" si="4"/>
        <v>15580.454915583961</v>
      </c>
    </row>
    <row r="40" spans="1:35" ht="18.75" x14ac:dyDescent="0.3">
      <c r="A40" s="28" t="s">
        <v>106</v>
      </c>
      <c r="B40" s="45">
        <f>149903.71+38111.04+15879.6</f>
        <v>203894.35</v>
      </c>
      <c r="C40" s="46">
        <f>121160.25+30803.41+12834.76</f>
        <v>164798.42000000001</v>
      </c>
      <c r="D40" s="46">
        <f>146833.167307494+30194.46+4047.75</f>
        <v>181075.377307494</v>
      </c>
      <c r="E40" s="7">
        <f>253234.07+17320.4</f>
        <v>270554.47000000003</v>
      </c>
      <c r="F40" s="7">
        <v>246132.84</v>
      </c>
      <c r="G40" s="7">
        <v>240097.58</v>
      </c>
      <c r="H40" s="8">
        <v>288866.52</v>
      </c>
      <c r="I40" s="8">
        <v>284637.59999999998</v>
      </c>
      <c r="J40" s="8">
        <v>281410.51</v>
      </c>
      <c r="K40" s="7">
        <v>301451.87</v>
      </c>
      <c r="L40" s="7">
        <v>299603.49333185016</v>
      </c>
      <c r="M40" s="7">
        <v>313987.12999999995</v>
      </c>
      <c r="N40" s="8">
        <f t="shared" si="0"/>
        <v>1064767.21</v>
      </c>
      <c r="O40" s="8">
        <f t="shared" si="0"/>
        <v>995172.35333185014</v>
      </c>
      <c r="P40" s="8">
        <f t="shared" si="0"/>
        <v>1016570.5973074939</v>
      </c>
      <c r="Q40" s="8">
        <v>392289.60000000003</v>
      </c>
      <c r="R40" s="8">
        <v>388207.79</v>
      </c>
      <c r="S40" s="8">
        <v>136555.32</v>
      </c>
      <c r="T40" s="7">
        <v>399168.78</v>
      </c>
      <c r="U40" s="7">
        <v>350729.14</v>
      </c>
      <c r="V40" s="7">
        <v>534352.37</v>
      </c>
      <c r="W40" s="8">
        <f t="shared" si="1"/>
        <v>1856225.59</v>
      </c>
      <c r="X40" s="8">
        <f t="shared" si="1"/>
        <v>1734109.2833318501</v>
      </c>
      <c r="Y40" s="8">
        <f t="shared" si="1"/>
        <v>1687478.2873074939</v>
      </c>
      <c r="Z40" s="10">
        <f t="shared" si="2"/>
        <v>46630.996024356224</v>
      </c>
      <c r="AA40" s="25">
        <v>-13833.8</v>
      </c>
      <c r="AB40" s="7">
        <v>-5877.68</v>
      </c>
      <c r="AC40" s="7">
        <f>-(17726.55+37708.99)</f>
        <v>-55435.539999999994</v>
      </c>
      <c r="AD40" s="7">
        <f>-(10645.5+32402.76)</f>
        <v>-43048.259999999995</v>
      </c>
      <c r="AE40" s="7">
        <f>-(9833.18+3590.69)</f>
        <v>-13423.87</v>
      </c>
      <c r="AF40" s="7">
        <f t="shared" si="3"/>
        <v>-117785.34999999998</v>
      </c>
      <c r="AG40" s="7">
        <f>-(2194.36+1290.44)</f>
        <v>-3484.8</v>
      </c>
      <c r="AH40" s="7">
        <v>-3988.8</v>
      </c>
      <c r="AI40" s="10">
        <f t="shared" si="4"/>
        <v>-92461.753975643762</v>
      </c>
    </row>
    <row r="41" spans="1:35" ht="18.75" x14ac:dyDescent="0.3">
      <c r="A41" s="44" t="s">
        <v>130</v>
      </c>
      <c r="B41" s="48">
        <v>1319.44</v>
      </c>
      <c r="C41" s="48">
        <v>1154.1600000000001</v>
      </c>
      <c r="D41" s="48">
        <v>1220.6727762206933</v>
      </c>
      <c r="E41" s="41">
        <v>2722.12</v>
      </c>
      <c r="F41" s="41">
        <v>2151.36</v>
      </c>
      <c r="G41" s="41">
        <v>3034.14</v>
      </c>
      <c r="H41" s="42">
        <v>2917.37</v>
      </c>
      <c r="I41" s="42">
        <v>3858.26</v>
      </c>
      <c r="J41" s="42">
        <v>5175.01</v>
      </c>
      <c r="K41" s="41">
        <v>0</v>
      </c>
      <c r="L41" s="41">
        <v>0</v>
      </c>
      <c r="M41" s="41">
        <v>0</v>
      </c>
      <c r="N41" s="8">
        <f t="shared" si="0"/>
        <v>6958.93</v>
      </c>
      <c r="O41" s="8">
        <f t="shared" si="0"/>
        <v>7163.7800000000007</v>
      </c>
      <c r="P41" s="8">
        <f t="shared" si="0"/>
        <v>9429.8227762206934</v>
      </c>
      <c r="Q41" s="7"/>
      <c r="R41" s="7"/>
      <c r="S41" s="7"/>
      <c r="T41" s="7"/>
      <c r="U41" s="7"/>
      <c r="V41" s="7"/>
      <c r="W41" s="8">
        <f t="shared" si="1"/>
        <v>6958.93</v>
      </c>
      <c r="X41" s="8">
        <f t="shared" si="1"/>
        <v>7163.7800000000007</v>
      </c>
      <c r="Y41" s="8">
        <f t="shared" si="1"/>
        <v>9429.8227762206934</v>
      </c>
      <c r="Z41" s="10">
        <f t="shared" si="2"/>
        <v>-2266.0427762206928</v>
      </c>
      <c r="AA41" s="25">
        <f t="shared" si="5"/>
        <v>-71.637800000000013</v>
      </c>
      <c r="AB41" s="7"/>
      <c r="AC41" s="7"/>
      <c r="AD41" s="7"/>
      <c r="AE41" s="7"/>
      <c r="AF41" s="7">
        <f t="shared" si="3"/>
        <v>0</v>
      </c>
      <c r="AG41" s="7"/>
      <c r="AH41" s="7">
        <v>-75.930000000000007</v>
      </c>
      <c r="AI41" s="10">
        <f t="shared" si="4"/>
        <v>-2413.6105762206926</v>
      </c>
    </row>
    <row r="42" spans="1:35" x14ac:dyDescent="0.25">
      <c r="A42" s="7" t="s">
        <v>43</v>
      </c>
      <c r="B42" s="49">
        <f>SUM(B7:B41)</f>
        <v>1933142.2899999998</v>
      </c>
      <c r="C42" s="49">
        <f>SUM(C7:C41)</f>
        <v>1594073.43</v>
      </c>
      <c r="D42" s="49">
        <f>SUM(D7:D41)</f>
        <v>1631060.068939999</v>
      </c>
      <c r="E42" s="8">
        <f t="shared" ref="E42:P42" si="6">SUM(E7:E41)</f>
        <v>2553636.8700000006</v>
      </c>
      <c r="F42" s="8">
        <f t="shared" si="6"/>
        <v>2331902.6950000003</v>
      </c>
      <c r="G42" s="8">
        <f t="shared" si="6"/>
        <v>2214514.8000000003</v>
      </c>
      <c r="H42" s="8">
        <f t="shared" si="6"/>
        <v>2725497.7700000009</v>
      </c>
      <c r="I42" s="8">
        <f t="shared" si="6"/>
        <v>2541460.2800000003</v>
      </c>
      <c r="J42" s="8">
        <f t="shared" si="6"/>
        <v>2711579.54</v>
      </c>
      <c r="K42" s="8">
        <f t="shared" si="6"/>
        <v>2818708.6799999997</v>
      </c>
      <c r="L42" s="8">
        <f t="shared" si="6"/>
        <v>2829265.3217240921</v>
      </c>
      <c r="M42" s="8">
        <f t="shared" si="6"/>
        <v>2828840.7499999995</v>
      </c>
      <c r="N42" s="8">
        <f t="shared" si="6"/>
        <v>10030985.609999999</v>
      </c>
      <c r="O42" s="8">
        <f t="shared" si="6"/>
        <v>9296701.7267240938</v>
      </c>
      <c r="P42" s="8">
        <f t="shared" si="6"/>
        <v>9385995.1589400005</v>
      </c>
      <c r="Q42" s="8">
        <f>SUM(Q17:Q41)</f>
        <v>3766225.0300000003</v>
      </c>
      <c r="R42" s="8">
        <f>SUM(R17:R41)</f>
        <v>3677525.1700000009</v>
      </c>
      <c r="S42" s="8">
        <f>SUM(S17:S41)</f>
        <v>1804886.09</v>
      </c>
      <c r="T42" s="7">
        <f t="shared" ref="T42:Z42" si="7">SUM(T7:T41)</f>
        <v>3844188.2200000007</v>
      </c>
      <c r="U42" s="7">
        <f t="shared" si="7"/>
        <v>3642305.2899999996</v>
      </c>
      <c r="V42" s="7">
        <f t="shared" si="7"/>
        <v>3709104.0300000003</v>
      </c>
      <c r="W42" s="8">
        <f t="shared" si="7"/>
        <v>17641398.859999999</v>
      </c>
      <c r="X42" s="8">
        <f t="shared" si="7"/>
        <v>16616532.186724093</v>
      </c>
      <c r="Y42" s="8">
        <f>SUM(Y7:Y41)</f>
        <v>14899985.278940003</v>
      </c>
      <c r="Z42" s="10">
        <f t="shared" si="7"/>
        <v>1716546.907784092</v>
      </c>
      <c r="AA42" s="25">
        <f>SUM(AA7:AA41)</f>
        <v>-130409.0053</v>
      </c>
      <c r="AB42" s="7">
        <f>SUM(AB7:AB41)</f>
        <v>-231602.79000000004</v>
      </c>
      <c r="AC42" s="7">
        <f>SUM(AC8:AC41)</f>
        <v>-252894.36</v>
      </c>
      <c r="AD42" s="7">
        <f>SUM(AD8:AD41)</f>
        <v>-285594.51</v>
      </c>
      <c r="AE42" s="7">
        <f>SUM(AE7:AE41)</f>
        <v>-146303.86000000002</v>
      </c>
      <c r="AF42" s="7">
        <f t="shared" si="3"/>
        <v>-916395.52000000002</v>
      </c>
      <c r="AG42" s="7">
        <f>SUM(AG7:AG41)</f>
        <v>-19082.260000000002</v>
      </c>
      <c r="AH42" s="7">
        <f>SUM(AH7:AH41)</f>
        <v>-42613.560000000012</v>
      </c>
      <c r="AI42" s="10">
        <f>SUM(AI7:AI41)</f>
        <v>608046.56248409231</v>
      </c>
    </row>
  </sheetData>
  <mergeCells count="21">
    <mergeCell ref="W4:Y5"/>
    <mergeCell ref="Z4:Z6"/>
    <mergeCell ref="AA4:AH4"/>
    <mergeCell ref="AI4:AI6"/>
    <mergeCell ref="A5:A6"/>
    <mergeCell ref="B5:D5"/>
    <mergeCell ref="E5:G5"/>
    <mergeCell ref="H5:J5"/>
    <mergeCell ref="K5:M5"/>
    <mergeCell ref="N5:P5"/>
    <mergeCell ref="Q5:S5"/>
    <mergeCell ref="T5:V5"/>
    <mergeCell ref="AA5:AA6"/>
    <mergeCell ref="AB5:AB6"/>
    <mergeCell ref="AC5:AC6"/>
    <mergeCell ref="B4:C4"/>
    <mergeCell ref="AD5:AD6"/>
    <mergeCell ref="AE5:AE6"/>
    <mergeCell ref="AF5:AF6"/>
    <mergeCell ref="AG5:AG6"/>
    <mergeCell ref="AH5:A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38"/>
  <sheetViews>
    <sheetView topLeftCell="A7" workbookViewId="0">
      <selection activeCell="AH12" sqref="AH12"/>
    </sheetView>
  </sheetViews>
  <sheetFormatPr defaultRowHeight="15.75" x14ac:dyDescent="0.25"/>
  <cols>
    <col min="1" max="1" width="27" style="6" customWidth="1"/>
    <col min="2" max="2" width="13.625" style="6" customWidth="1"/>
    <col min="3" max="3" width="12.875" style="6" customWidth="1"/>
    <col min="4" max="4" width="12.25" style="6" customWidth="1"/>
    <col min="5" max="5" width="13.875" style="6" customWidth="1"/>
    <col min="6" max="6" width="12.5" style="6" customWidth="1"/>
    <col min="7" max="7" width="12.25" style="6" customWidth="1"/>
    <col min="8" max="8" width="11.875" style="6" customWidth="1"/>
    <col min="9" max="9" width="13.125" style="6" customWidth="1"/>
    <col min="10" max="10" width="11.125" style="6" customWidth="1"/>
    <col min="11" max="11" width="12.625" style="6" customWidth="1"/>
    <col min="12" max="13" width="12.125" style="6" customWidth="1"/>
    <col min="14" max="14" width="12.75" style="26" customWidth="1"/>
    <col min="15" max="15" width="13.375" style="26" customWidth="1"/>
    <col min="16" max="16" width="14.125" style="26" customWidth="1"/>
    <col min="17" max="17" width="13.5" style="26" customWidth="1"/>
    <col min="18" max="18" width="13" style="26" customWidth="1"/>
    <col min="19" max="19" width="13.875" style="26" customWidth="1"/>
    <col min="20" max="20" width="12.5" style="26" customWidth="1"/>
    <col min="21" max="21" width="12.75" style="26" customWidth="1"/>
    <col min="22" max="22" width="12.875" style="26" customWidth="1"/>
    <col min="23" max="23" width="12.125" style="26" customWidth="1"/>
    <col min="24" max="24" width="12.375" style="26" customWidth="1"/>
    <col min="25" max="25" width="12.875" style="26" customWidth="1"/>
    <col min="26" max="26" width="13.625" style="26" customWidth="1"/>
    <col min="27" max="27" width="14.375" style="26" customWidth="1"/>
    <col min="28" max="28" width="14.25" style="6" customWidth="1"/>
    <col min="29" max="29" width="14.375" style="6" customWidth="1"/>
    <col min="30" max="30" width="11.25" style="6" customWidth="1"/>
    <col min="31" max="31" width="9" style="6" customWidth="1"/>
    <col min="32" max="32" width="10.75" style="6" customWidth="1"/>
    <col min="33" max="33" width="14" style="6" customWidth="1"/>
    <col min="34" max="16384" width="9" style="6"/>
  </cols>
  <sheetData>
    <row r="2" spans="1:33" x14ac:dyDescent="0.25">
      <c r="AB2" s="61" t="s">
        <v>153</v>
      </c>
    </row>
    <row r="3" spans="1:33" ht="35.25" customHeight="1" x14ac:dyDescent="0.25">
      <c r="A3" s="35" t="s">
        <v>132</v>
      </c>
      <c r="B3" s="71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132" t="s">
        <v>278</v>
      </c>
      <c r="AA3" s="132"/>
      <c r="AB3" s="132"/>
      <c r="AC3" s="143" t="s">
        <v>274</v>
      </c>
      <c r="AD3" s="149" t="s">
        <v>50</v>
      </c>
      <c r="AE3" s="149"/>
      <c r="AF3" s="149"/>
      <c r="AG3" s="143" t="s">
        <v>298</v>
      </c>
    </row>
    <row r="4" spans="1:33" ht="27" customHeight="1" x14ac:dyDescent="0.25">
      <c r="A4" s="34"/>
      <c r="B4" s="132" t="s">
        <v>268</v>
      </c>
      <c r="C4" s="132"/>
      <c r="D4" s="132"/>
      <c r="E4" s="132" t="s">
        <v>269</v>
      </c>
      <c r="F4" s="132"/>
      <c r="G4" s="132"/>
      <c r="H4" s="132" t="s">
        <v>270</v>
      </c>
      <c r="I4" s="132"/>
      <c r="J4" s="132"/>
      <c r="K4" s="132" t="s">
        <v>271</v>
      </c>
      <c r="L4" s="132"/>
      <c r="M4" s="132"/>
      <c r="N4" s="132" t="s">
        <v>294</v>
      </c>
      <c r="O4" s="132"/>
      <c r="P4" s="132"/>
      <c r="Q4" s="146" t="s">
        <v>295</v>
      </c>
      <c r="R4" s="147"/>
      <c r="S4" s="148"/>
      <c r="T4" s="146" t="s">
        <v>296</v>
      </c>
      <c r="U4" s="147"/>
      <c r="V4" s="148"/>
      <c r="W4" s="146" t="s">
        <v>297</v>
      </c>
      <c r="X4" s="147"/>
      <c r="Y4" s="147"/>
      <c r="Z4" s="132"/>
      <c r="AA4" s="132"/>
      <c r="AB4" s="132"/>
      <c r="AC4" s="143"/>
      <c r="AD4" s="136" t="s">
        <v>263</v>
      </c>
      <c r="AE4" s="136" t="s">
        <v>6</v>
      </c>
      <c r="AF4" s="136" t="s">
        <v>58</v>
      </c>
      <c r="AG4" s="143"/>
    </row>
    <row r="5" spans="1:33" ht="53.25" customHeight="1" x14ac:dyDescent="0.25">
      <c r="A5" s="34"/>
      <c r="B5" s="17" t="s">
        <v>8</v>
      </c>
      <c r="C5" s="17" t="s">
        <v>9</v>
      </c>
      <c r="D5" s="17" t="s">
        <v>10</v>
      </c>
      <c r="E5" s="17" t="s">
        <v>8</v>
      </c>
      <c r="F5" s="17" t="s">
        <v>9</v>
      </c>
      <c r="G5" s="17" t="s">
        <v>10</v>
      </c>
      <c r="H5" s="17" t="s">
        <v>8</v>
      </c>
      <c r="I5" s="17" t="s">
        <v>9</v>
      </c>
      <c r="J5" s="17" t="s">
        <v>10</v>
      </c>
      <c r="K5" s="17" t="s">
        <v>8</v>
      </c>
      <c r="L5" s="17" t="s">
        <v>9</v>
      </c>
      <c r="M5" s="52" t="s">
        <v>10</v>
      </c>
      <c r="N5" s="17" t="s">
        <v>8</v>
      </c>
      <c r="O5" s="17" t="s">
        <v>9</v>
      </c>
      <c r="P5" s="17" t="s">
        <v>10</v>
      </c>
      <c r="Q5" s="17" t="s">
        <v>8</v>
      </c>
      <c r="R5" s="17" t="s">
        <v>9</v>
      </c>
      <c r="S5" s="17" t="s">
        <v>10</v>
      </c>
      <c r="T5" s="17" t="s">
        <v>8</v>
      </c>
      <c r="U5" s="17" t="s">
        <v>9</v>
      </c>
      <c r="V5" s="17" t="s">
        <v>10</v>
      </c>
      <c r="W5" s="17" t="s">
        <v>8</v>
      </c>
      <c r="X5" s="17" t="s">
        <v>9</v>
      </c>
      <c r="Y5" s="52" t="s">
        <v>10</v>
      </c>
      <c r="Z5" s="17" t="s">
        <v>8</v>
      </c>
      <c r="AA5" s="17" t="s">
        <v>9</v>
      </c>
      <c r="AB5" s="17" t="s">
        <v>10</v>
      </c>
      <c r="AC5" s="143"/>
      <c r="AD5" s="136"/>
      <c r="AE5" s="136"/>
      <c r="AF5" s="136"/>
      <c r="AG5" s="143"/>
    </row>
    <row r="6" spans="1:33" ht="19.5" customHeight="1" x14ac:dyDescent="0.25">
      <c r="A6" s="18" t="s">
        <v>133</v>
      </c>
      <c r="B6" s="54">
        <v>20701.45</v>
      </c>
      <c r="C6" s="55">
        <v>16907.95</v>
      </c>
      <c r="D6" s="62">
        <v>11462.98</v>
      </c>
      <c r="E6" s="8">
        <v>31022.04</v>
      </c>
      <c r="F6" s="8">
        <v>28667.71</v>
      </c>
      <c r="G6" s="8">
        <v>22152.34</v>
      </c>
      <c r="H6" s="8">
        <v>30427.089999999997</v>
      </c>
      <c r="I6" s="8">
        <v>32680.840936681736</v>
      </c>
      <c r="J6" s="56">
        <v>30120.843634707635</v>
      </c>
      <c r="K6" s="9">
        <v>36786.04</v>
      </c>
      <c r="L6" s="9">
        <v>34242.239999999998</v>
      </c>
      <c r="M6" s="9">
        <v>37775.17</v>
      </c>
      <c r="N6" s="8">
        <f t="shared" ref="N6:P38" si="0">B6+E6+H6+K6</f>
        <v>118936.62</v>
      </c>
      <c r="O6" s="8">
        <f t="shared" si="0"/>
        <v>112498.74093668174</v>
      </c>
      <c r="P6" s="8">
        <f t="shared" si="0"/>
        <v>101511.33363470764</v>
      </c>
      <c r="Q6" s="8">
        <v>31043.257142857143</v>
      </c>
      <c r="R6" s="8">
        <v>30924.689063318259</v>
      </c>
      <c r="S6" s="8">
        <v>0</v>
      </c>
      <c r="T6" s="8">
        <f>N6+Q6</f>
        <v>149979.87714285715</v>
      </c>
      <c r="U6" s="8">
        <f>O6+R6</f>
        <v>143423.43</v>
      </c>
      <c r="V6" s="8">
        <f>P6+S6</f>
        <v>101511.33363470764</v>
      </c>
      <c r="W6" s="8">
        <v>48025.84</v>
      </c>
      <c r="X6" s="8">
        <v>49200.19</v>
      </c>
      <c r="Y6" s="8">
        <v>38161</v>
      </c>
      <c r="Z6" s="8">
        <f>T6+W6</f>
        <v>198005.71714285715</v>
      </c>
      <c r="AA6" s="8">
        <f>U6+X6</f>
        <v>192623.62</v>
      </c>
      <c r="AB6" s="8">
        <f>V6+Y6</f>
        <v>139672.33363470764</v>
      </c>
      <c r="AC6" s="10">
        <f>AA6-AB6</f>
        <v>52951.286365292355</v>
      </c>
      <c r="AD6" s="25">
        <v>-1434.23</v>
      </c>
      <c r="AE6" s="7"/>
      <c r="AF6" s="7">
        <v>-810.42</v>
      </c>
      <c r="AG6" s="10">
        <f>AC6+AD6+AE6+AF6</f>
        <v>50706.636365292354</v>
      </c>
    </row>
    <row r="7" spans="1:33" ht="21" customHeight="1" x14ac:dyDescent="0.25">
      <c r="A7" s="18" t="s">
        <v>134</v>
      </c>
      <c r="B7" s="54">
        <v>53445.74</v>
      </c>
      <c r="C7" s="55">
        <v>43330.87</v>
      </c>
      <c r="D7" s="62">
        <v>44706.99</v>
      </c>
      <c r="E7" s="8">
        <v>76763.31</v>
      </c>
      <c r="F7" s="8">
        <v>65794.259999999995</v>
      </c>
      <c r="G7" s="8">
        <v>69746.44</v>
      </c>
      <c r="H7" s="8">
        <v>79342.78</v>
      </c>
      <c r="I7" s="8">
        <v>64512.686129088106</v>
      </c>
      <c r="J7" s="56">
        <v>69395.484709660188</v>
      </c>
      <c r="K7" s="9">
        <v>79509.55</v>
      </c>
      <c r="L7" s="9">
        <v>66085.570000000007</v>
      </c>
      <c r="M7" s="9">
        <v>96717.78</v>
      </c>
      <c r="N7" s="8">
        <f t="shared" si="0"/>
        <v>289061.38</v>
      </c>
      <c r="O7" s="8">
        <f t="shared" si="0"/>
        <v>239723.38612908812</v>
      </c>
      <c r="P7" s="8">
        <f t="shared" si="0"/>
        <v>280566.69470966014</v>
      </c>
      <c r="Q7" s="8">
        <v>100314.23</v>
      </c>
      <c r="R7" s="8">
        <v>87408.473870911897</v>
      </c>
      <c r="S7" s="8">
        <v>6392.67</v>
      </c>
      <c r="T7" s="8">
        <f t="shared" ref="T7:V38" si="1">N7+Q7</f>
        <v>389375.61</v>
      </c>
      <c r="U7" s="8">
        <f t="shared" si="1"/>
        <v>327131.86</v>
      </c>
      <c r="V7" s="8">
        <f t="shared" si="1"/>
        <v>286959.36470966012</v>
      </c>
      <c r="W7" s="8">
        <v>118398.46</v>
      </c>
      <c r="X7" s="8">
        <v>127692.63</v>
      </c>
      <c r="Y7" s="8">
        <v>130117.51</v>
      </c>
      <c r="Z7" s="8">
        <f t="shared" ref="Z7:AB38" si="2">T7+W7</f>
        <v>507774.07</v>
      </c>
      <c r="AA7" s="8">
        <f t="shared" si="2"/>
        <v>454824.49</v>
      </c>
      <c r="AB7" s="8">
        <f t="shared" si="2"/>
        <v>417076.87470966013</v>
      </c>
      <c r="AC7" s="10">
        <f t="shared" ref="AC7:AC38" si="3">AA7-AB7</f>
        <v>37747.615290339862</v>
      </c>
      <c r="AD7" s="25">
        <v>-3271.32</v>
      </c>
      <c r="AE7" s="7">
        <v>-1777.72</v>
      </c>
      <c r="AF7" s="7">
        <v>-1765.26</v>
      </c>
      <c r="AG7" s="10">
        <f t="shared" ref="AG7:AG37" si="4">AC7+AD7+AE7+AF7</f>
        <v>30933.315290339862</v>
      </c>
    </row>
    <row r="8" spans="1:33" ht="18.75" x14ac:dyDescent="0.3">
      <c r="A8" s="19" t="s">
        <v>135</v>
      </c>
      <c r="B8" s="54">
        <v>54509.18</v>
      </c>
      <c r="C8" s="55">
        <v>47610.239999999998</v>
      </c>
      <c r="D8" s="62">
        <v>45623.63</v>
      </c>
      <c r="E8" s="8">
        <v>78038.789999999994</v>
      </c>
      <c r="F8" s="8">
        <v>78422.149999999994</v>
      </c>
      <c r="G8" s="8">
        <v>69486.02</v>
      </c>
      <c r="H8" s="8">
        <v>83853.48000000001</v>
      </c>
      <c r="I8" s="8">
        <v>82381.404246352497</v>
      </c>
      <c r="J8" s="56">
        <v>75440.637174654024</v>
      </c>
      <c r="K8" s="9">
        <v>84110.63</v>
      </c>
      <c r="L8" s="9">
        <v>83227.38</v>
      </c>
      <c r="M8" s="9">
        <v>100966.01</v>
      </c>
      <c r="N8" s="8">
        <f t="shared" si="0"/>
        <v>300512.08</v>
      </c>
      <c r="O8" s="8">
        <f t="shared" si="0"/>
        <v>291641.17424635252</v>
      </c>
      <c r="P8" s="8">
        <f t="shared" si="0"/>
        <v>291516.29717465403</v>
      </c>
      <c r="Q8" s="8">
        <v>95693.984285714294</v>
      </c>
      <c r="R8" s="8">
        <v>95239.625753647488</v>
      </c>
      <c r="S8" s="8">
        <v>45067.130000000005</v>
      </c>
      <c r="T8" s="8">
        <f t="shared" si="1"/>
        <v>396206.0642857143</v>
      </c>
      <c r="U8" s="8">
        <f t="shared" si="1"/>
        <v>386880.8</v>
      </c>
      <c r="V8" s="8">
        <f t="shared" si="1"/>
        <v>336583.42717465403</v>
      </c>
      <c r="W8" s="8">
        <v>119340.75</v>
      </c>
      <c r="X8" s="8">
        <v>121757.31</v>
      </c>
      <c r="Y8" s="8">
        <v>142935.38</v>
      </c>
      <c r="Z8" s="8">
        <f t="shared" si="2"/>
        <v>515546.8142857143</v>
      </c>
      <c r="AA8" s="8">
        <f t="shared" si="2"/>
        <v>508638.11</v>
      </c>
      <c r="AB8" s="8">
        <f t="shared" si="2"/>
        <v>479518.80717465404</v>
      </c>
      <c r="AC8" s="10">
        <f t="shared" si="3"/>
        <v>29119.302825345949</v>
      </c>
      <c r="AD8" s="25">
        <v>-3868.81</v>
      </c>
      <c r="AE8" s="7"/>
      <c r="AF8" s="7">
        <v>-1761.63</v>
      </c>
      <c r="AG8" s="10">
        <f t="shared" si="4"/>
        <v>23488.862825345946</v>
      </c>
    </row>
    <row r="9" spans="1:33" ht="18.75" x14ac:dyDescent="0.3">
      <c r="A9" s="19" t="s">
        <v>136</v>
      </c>
      <c r="B9" s="54">
        <v>38263.72</v>
      </c>
      <c r="C9" s="55">
        <v>34140.879999999997</v>
      </c>
      <c r="D9" s="62">
        <v>34028.129999999997</v>
      </c>
      <c r="E9" s="8">
        <v>56512.08</v>
      </c>
      <c r="F9" s="8">
        <v>54909.54</v>
      </c>
      <c r="G9" s="8">
        <v>57484.53</v>
      </c>
      <c r="H9" s="8">
        <v>58217.8</v>
      </c>
      <c r="I9" s="8">
        <v>50410.849820638679</v>
      </c>
      <c r="J9" s="56">
        <v>50712.318085510189</v>
      </c>
      <c r="K9" s="9">
        <v>58638.879999999997</v>
      </c>
      <c r="L9" s="9">
        <v>61837.32</v>
      </c>
      <c r="M9" s="9">
        <v>74704.91</v>
      </c>
      <c r="N9" s="8">
        <f t="shared" si="0"/>
        <v>211632.48</v>
      </c>
      <c r="O9" s="8">
        <f t="shared" si="0"/>
        <v>201298.58982063868</v>
      </c>
      <c r="P9" s="8">
        <f t="shared" si="0"/>
        <v>216929.8880855102</v>
      </c>
      <c r="Q9" s="8">
        <v>75308.98</v>
      </c>
      <c r="R9" s="8">
        <v>75305.750179361319</v>
      </c>
      <c r="S9" s="8">
        <v>71247.72</v>
      </c>
      <c r="T9" s="8">
        <f t="shared" si="1"/>
        <v>286941.46000000002</v>
      </c>
      <c r="U9" s="8">
        <f t="shared" si="1"/>
        <v>276604.33999999997</v>
      </c>
      <c r="V9" s="8">
        <f t="shared" si="1"/>
        <v>288177.6080855102</v>
      </c>
      <c r="W9" s="8">
        <v>87710.99</v>
      </c>
      <c r="X9" s="8">
        <v>74898.87</v>
      </c>
      <c r="Y9" s="8">
        <v>95029.71</v>
      </c>
      <c r="Z9" s="8">
        <f t="shared" si="2"/>
        <v>374652.45</v>
      </c>
      <c r="AA9" s="8">
        <f t="shared" si="2"/>
        <v>351503.20999999996</v>
      </c>
      <c r="AB9" s="8">
        <f t="shared" si="2"/>
        <v>383207.31808551023</v>
      </c>
      <c r="AC9" s="10">
        <f t="shared" si="3"/>
        <v>-31704.108085510263</v>
      </c>
      <c r="AD9" s="25">
        <v>-2766.04</v>
      </c>
      <c r="AE9" s="7"/>
      <c r="AF9" s="7">
        <v>-1283.68</v>
      </c>
      <c r="AG9" s="10">
        <f t="shared" si="4"/>
        <v>-35753.828085510264</v>
      </c>
    </row>
    <row r="10" spans="1:33" ht="18.75" x14ac:dyDescent="0.3">
      <c r="A10" s="19" t="s">
        <v>137</v>
      </c>
      <c r="B10" s="54">
        <v>39543.35</v>
      </c>
      <c r="C10" s="55">
        <v>35626.300000000003</v>
      </c>
      <c r="D10" s="62">
        <v>36351.269999999997</v>
      </c>
      <c r="E10" s="8">
        <v>58419.83</v>
      </c>
      <c r="F10" s="8">
        <v>54567.85</v>
      </c>
      <c r="G10" s="8">
        <v>54114.41</v>
      </c>
      <c r="H10" s="8">
        <v>60492.09</v>
      </c>
      <c r="I10" s="8">
        <v>56990.189329258261</v>
      </c>
      <c r="J10" s="56">
        <v>52610.954218858773</v>
      </c>
      <c r="K10" s="9">
        <v>60971.48</v>
      </c>
      <c r="L10" s="9">
        <v>53666.57</v>
      </c>
      <c r="M10" s="9">
        <v>73389.45</v>
      </c>
      <c r="N10" s="8">
        <f t="shared" si="0"/>
        <v>219426.75</v>
      </c>
      <c r="O10" s="8">
        <f t="shared" si="0"/>
        <v>200850.90932925825</v>
      </c>
      <c r="P10" s="8">
        <f t="shared" si="0"/>
        <v>216466.08421885874</v>
      </c>
      <c r="Q10" s="8">
        <v>71947.960000000006</v>
      </c>
      <c r="R10" s="8">
        <v>68838.35067074174</v>
      </c>
      <c r="S10" s="8">
        <v>72138.61</v>
      </c>
      <c r="T10" s="8">
        <f t="shared" si="1"/>
        <v>291374.71000000002</v>
      </c>
      <c r="U10" s="8">
        <f t="shared" si="1"/>
        <v>269689.26</v>
      </c>
      <c r="V10" s="8">
        <f t="shared" si="1"/>
        <v>288604.69421885873</v>
      </c>
      <c r="W10" s="8">
        <v>89124.84</v>
      </c>
      <c r="X10" s="8">
        <v>79893.990000000005</v>
      </c>
      <c r="Y10" s="8">
        <v>92825.36</v>
      </c>
      <c r="Z10" s="8">
        <f t="shared" si="2"/>
        <v>380499.55000000005</v>
      </c>
      <c r="AA10" s="8">
        <f t="shared" si="2"/>
        <v>349583.25</v>
      </c>
      <c r="AB10" s="8">
        <f t="shared" si="2"/>
        <v>381430.05421885871</v>
      </c>
      <c r="AC10" s="10">
        <f t="shared" si="3"/>
        <v>-31846.804218858713</v>
      </c>
      <c r="AD10" s="25">
        <v>-2696.89</v>
      </c>
      <c r="AE10" s="7">
        <v>-583</v>
      </c>
      <c r="AF10" s="7">
        <v>-1292.67</v>
      </c>
      <c r="AG10" s="10">
        <f t="shared" si="4"/>
        <v>-36419.364218858711</v>
      </c>
    </row>
    <row r="11" spans="1:33" ht="18.75" x14ac:dyDescent="0.3">
      <c r="A11" s="19" t="s">
        <v>138</v>
      </c>
      <c r="B11" s="54">
        <v>7442.05</v>
      </c>
      <c r="C11" s="55">
        <v>5930.52</v>
      </c>
      <c r="D11" s="62">
        <v>4499.8599999999997</v>
      </c>
      <c r="E11" s="8">
        <v>11267.94</v>
      </c>
      <c r="F11" s="8">
        <v>9122.44</v>
      </c>
      <c r="G11" s="8">
        <v>9958.56</v>
      </c>
      <c r="H11" s="8">
        <v>12329.39</v>
      </c>
      <c r="I11" s="8">
        <v>8876.7304702310521</v>
      </c>
      <c r="J11" s="56">
        <v>13149.196073951149</v>
      </c>
      <c r="K11" s="9">
        <v>11913.38</v>
      </c>
      <c r="L11" s="9">
        <v>6998.29</v>
      </c>
      <c r="M11" s="9">
        <v>16898.59</v>
      </c>
      <c r="N11" s="8">
        <f t="shared" si="0"/>
        <v>42952.76</v>
      </c>
      <c r="O11" s="8">
        <f t="shared" si="0"/>
        <v>30927.980470231054</v>
      </c>
      <c r="P11" s="8">
        <f t="shared" si="0"/>
        <v>44506.206073951151</v>
      </c>
      <c r="Q11" s="8">
        <v>1526.3842857142859</v>
      </c>
      <c r="R11" s="8">
        <v>1118.5495297689488</v>
      </c>
      <c r="S11" s="8">
        <v>0</v>
      </c>
      <c r="T11" s="8">
        <f t="shared" si="1"/>
        <v>44479.14428571429</v>
      </c>
      <c r="U11" s="8">
        <f t="shared" si="1"/>
        <v>32046.530000000002</v>
      </c>
      <c r="V11" s="8">
        <f t="shared" si="1"/>
        <v>44506.206073951151</v>
      </c>
      <c r="W11" s="8">
        <v>24033.919999999998</v>
      </c>
      <c r="X11" s="8">
        <v>9423.57</v>
      </c>
      <c r="Y11" s="8">
        <v>19439.099999999999</v>
      </c>
      <c r="Z11" s="8">
        <f t="shared" si="2"/>
        <v>68513.064285714296</v>
      </c>
      <c r="AA11" s="8">
        <f t="shared" si="2"/>
        <v>41470.100000000006</v>
      </c>
      <c r="AB11" s="8">
        <f t="shared" si="2"/>
        <v>63945.306073951149</v>
      </c>
      <c r="AC11" s="10">
        <f t="shared" si="3"/>
        <v>-22475.206073951143</v>
      </c>
      <c r="AD11" s="25">
        <v>-320.47000000000003</v>
      </c>
      <c r="AE11" s="7"/>
      <c r="AF11" s="7">
        <v>-364.32</v>
      </c>
      <c r="AG11" s="10">
        <f t="shared" si="4"/>
        <v>-23159.996073951144</v>
      </c>
    </row>
    <row r="12" spans="1:33" ht="18.75" x14ac:dyDescent="0.3">
      <c r="A12" s="19" t="s">
        <v>139</v>
      </c>
      <c r="B12" s="54">
        <f>228471.32+73365.08</f>
        <v>301836.40000000002</v>
      </c>
      <c r="C12" s="55">
        <f>209204.45+67921</f>
        <v>277125.45</v>
      </c>
      <c r="D12" s="62">
        <f>192757.51+66822.04</f>
        <v>259579.55</v>
      </c>
      <c r="E12" s="8">
        <v>434181.13</v>
      </c>
      <c r="F12" s="8">
        <v>424770.92</v>
      </c>
      <c r="G12" s="8">
        <v>407577.17</v>
      </c>
      <c r="H12" s="8">
        <v>492337.41000000003</v>
      </c>
      <c r="I12" s="8">
        <v>505324.6302586408</v>
      </c>
      <c r="J12" s="56">
        <v>421737.04394696065</v>
      </c>
      <c r="K12" s="9">
        <v>496448.74</v>
      </c>
      <c r="L12" s="9">
        <v>478321.02</v>
      </c>
      <c r="M12" s="9">
        <v>516714.67</v>
      </c>
      <c r="N12" s="8">
        <f t="shared" si="0"/>
        <v>1724803.68</v>
      </c>
      <c r="O12" s="8">
        <f t="shared" si="0"/>
        <v>1685542.0202586409</v>
      </c>
      <c r="P12" s="8">
        <f t="shared" si="0"/>
        <v>1605608.4339469606</v>
      </c>
      <c r="Q12" s="8">
        <v>338151.15</v>
      </c>
      <c r="R12" s="8">
        <v>335979.0597413592</v>
      </c>
      <c r="S12" s="8">
        <v>150606.19</v>
      </c>
      <c r="T12" s="8">
        <f t="shared" si="1"/>
        <v>2062954.83</v>
      </c>
      <c r="U12" s="8">
        <f t="shared" si="1"/>
        <v>2021521.08</v>
      </c>
      <c r="V12" s="8">
        <f t="shared" si="1"/>
        <v>1756214.6239469605</v>
      </c>
      <c r="W12" s="8">
        <v>638741.75</v>
      </c>
      <c r="X12" s="8">
        <v>634698.91</v>
      </c>
      <c r="Y12" s="8">
        <v>658526.98</v>
      </c>
      <c r="Z12" s="8">
        <f t="shared" si="2"/>
        <v>2701696.58</v>
      </c>
      <c r="AA12" s="8">
        <f t="shared" si="2"/>
        <v>2656219.9900000002</v>
      </c>
      <c r="AB12" s="8">
        <f t="shared" si="2"/>
        <v>2414741.6039469605</v>
      </c>
      <c r="AC12" s="10">
        <f t="shared" si="3"/>
        <v>241478.38605303969</v>
      </c>
      <c r="AD12" s="25">
        <v>-20215.21</v>
      </c>
      <c r="AE12" s="7"/>
      <c r="AF12" s="7">
        <v>-7383.73</v>
      </c>
      <c r="AG12" s="10">
        <f t="shared" si="4"/>
        <v>213879.44605303969</v>
      </c>
    </row>
    <row r="13" spans="1:33" ht="18.75" x14ac:dyDescent="0.3">
      <c r="A13" s="19" t="s">
        <v>140</v>
      </c>
      <c r="B13" s="54">
        <v>71397.89</v>
      </c>
      <c r="C13" s="55">
        <v>62329.96</v>
      </c>
      <c r="D13" s="62">
        <v>60047.95</v>
      </c>
      <c r="E13" s="8">
        <v>102298.51</v>
      </c>
      <c r="F13" s="8">
        <v>101976.39</v>
      </c>
      <c r="G13" s="8">
        <v>100657.98</v>
      </c>
      <c r="H13" s="8">
        <v>117738.81000000001</v>
      </c>
      <c r="I13" s="8">
        <v>114112.76987313162</v>
      </c>
      <c r="J13" s="56">
        <v>98143.088267422005</v>
      </c>
      <c r="K13" s="9">
        <v>119023.87</v>
      </c>
      <c r="L13" s="9">
        <v>123677.62</v>
      </c>
      <c r="M13" s="9">
        <v>119617.48</v>
      </c>
      <c r="N13" s="8">
        <f t="shared" si="0"/>
        <v>410459.08</v>
      </c>
      <c r="O13" s="8">
        <f t="shared" si="0"/>
        <v>402096.73987313162</v>
      </c>
      <c r="P13" s="8">
        <f t="shared" si="0"/>
        <v>378466.49826742196</v>
      </c>
      <c r="Q13" s="8">
        <v>143465.5</v>
      </c>
      <c r="R13" s="8">
        <v>144122.84012686837</v>
      </c>
      <c r="S13" s="8">
        <v>81727.490000000005</v>
      </c>
      <c r="T13" s="8">
        <f t="shared" si="1"/>
        <v>553924.58000000007</v>
      </c>
      <c r="U13" s="8">
        <f t="shared" si="1"/>
        <v>546219.57999999996</v>
      </c>
      <c r="V13" s="8">
        <f t="shared" si="1"/>
        <v>460193.98826742196</v>
      </c>
      <c r="W13" s="8">
        <v>177190.21</v>
      </c>
      <c r="X13" s="8">
        <v>159238.32</v>
      </c>
      <c r="Y13" s="8">
        <v>158871.01999999999</v>
      </c>
      <c r="Z13" s="8">
        <f t="shared" si="2"/>
        <v>731114.79</v>
      </c>
      <c r="AA13" s="8">
        <f t="shared" si="2"/>
        <v>705457.89999999991</v>
      </c>
      <c r="AB13" s="8">
        <f t="shared" si="2"/>
        <v>619065.00826742197</v>
      </c>
      <c r="AC13" s="10">
        <f t="shared" si="3"/>
        <v>86392.891732577933</v>
      </c>
      <c r="AD13" s="25">
        <v>-5462.2</v>
      </c>
      <c r="AE13" s="7"/>
      <c r="AF13" s="7">
        <v>-2411.06</v>
      </c>
      <c r="AG13" s="10">
        <f t="shared" si="4"/>
        <v>78519.631732577938</v>
      </c>
    </row>
    <row r="14" spans="1:33" ht="18.75" x14ac:dyDescent="0.3">
      <c r="A14" s="19" t="s">
        <v>141</v>
      </c>
      <c r="B14" s="54">
        <v>66068.92</v>
      </c>
      <c r="C14" s="55">
        <v>59494.41</v>
      </c>
      <c r="D14" s="62">
        <v>62436.12</v>
      </c>
      <c r="E14" s="8">
        <v>98254.22</v>
      </c>
      <c r="F14" s="8">
        <v>93075.17</v>
      </c>
      <c r="G14" s="8">
        <v>87114.16</v>
      </c>
      <c r="H14" s="8">
        <v>113836.01999999999</v>
      </c>
      <c r="I14" s="8">
        <v>106835.58481814357</v>
      </c>
      <c r="J14" s="56">
        <v>91963.014987172515</v>
      </c>
      <c r="K14" s="9">
        <v>117048.8</v>
      </c>
      <c r="L14" s="9">
        <v>123682.21</v>
      </c>
      <c r="M14" s="9">
        <v>120693.32</v>
      </c>
      <c r="N14" s="8">
        <f t="shared" si="0"/>
        <v>395207.96</v>
      </c>
      <c r="O14" s="8">
        <f t="shared" si="0"/>
        <v>383087.37481814361</v>
      </c>
      <c r="P14" s="8">
        <f t="shared" si="0"/>
        <v>362206.61498717254</v>
      </c>
      <c r="Q14" s="8">
        <v>141829.18</v>
      </c>
      <c r="R14" s="8">
        <v>142452.79518185643</v>
      </c>
      <c r="S14" s="8">
        <v>152652.76</v>
      </c>
      <c r="T14" s="8">
        <f t="shared" si="1"/>
        <v>537037.14</v>
      </c>
      <c r="U14" s="8">
        <f t="shared" si="1"/>
        <v>525540.17000000004</v>
      </c>
      <c r="V14" s="8">
        <f t="shared" si="1"/>
        <v>514859.37498717254</v>
      </c>
      <c r="W14" s="8">
        <v>169722.91</v>
      </c>
      <c r="X14" s="8">
        <v>148375.54</v>
      </c>
      <c r="Y14" s="8">
        <v>168592.37</v>
      </c>
      <c r="Z14" s="8">
        <f t="shared" si="2"/>
        <v>706760.05</v>
      </c>
      <c r="AA14" s="8">
        <f t="shared" si="2"/>
        <v>673915.71000000008</v>
      </c>
      <c r="AB14" s="8">
        <f t="shared" si="2"/>
        <v>683451.74498717254</v>
      </c>
      <c r="AC14" s="10">
        <f t="shared" si="3"/>
        <v>-9536.0349871724611</v>
      </c>
      <c r="AD14" s="25">
        <v>-5255.4</v>
      </c>
      <c r="AE14" s="7"/>
      <c r="AF14" s="7">
        <v>-2263.94</v>
      </c>
      <c r="AG14" s="10">
        <f t="shared" si="4"/>
        <v>-17055.374987172461</v>
      </c>
    </row>
    <row r="15" spans="1:33" ht="18.75" x14ac:dyDescent="0.3">
      <c r="A15" s="19" t="s">
        <v>142</v>
      </c>
      <c r="B15" s="54">
        <v>53543.16</v>
      </c>
      <c r="C15" s="55">
        <v>47426.559999999998</v>
      </c>
      <c r="D15" s="62">
        <v>44812.6</v>
      </c>
      <c r="E15" s="8">
        <v>76299.94</v>
      </c>
      <c r="F15" s="8">
        <v>76642.87</v>
      </c>
      <c r="G15" s="8">
        <v>68591.22</v>
      </c>
      <c r="H15" s="8">
        <v>78291.570000000007</v>
      </c>
      <c r="I15" s="8">
        <v>74765.739353214783</v>
      </c>
      <c r="J15" s="56">
        <v>72824.168718033819</v>
      </c>
      <c r="K15" s="9">
        <v>79203.210000000006</v>
      </c>
      <c r="L15" s="9">
        <v>77744.11</v>
      </c>
      <c r="M15" s="9">
        <v>98759.66</v>
      </c>
      <c r="N15" s="8">
        <f t="shared" si="0"/>
        <v>287337.88</v>
      </c>
      <c r="O15" s="8">
        <f t="shared" si="0"/>
        <v>276579.27935321478</v>
      </c>
      <c r="P15" s="8">
        <f t="shared" si="0"/>
        <v>284987.6487180338</v>
      </c>
      <c r="Q15" s="8">
        <v>104366.87</v>
      </c>
      <c r="R15" s="8">
        <v>103275.00064678522</v>
      </c>
      <c r="S15" s="8">
        <v>137594.97999999998</v>
      </c>
      <c r="T15" s="8">
        <f t="shared" si="1"/>
        <v>391704.75</v>
      </c>
      <c r="U15" s="8">
        <f t="shared" si="1"/>
        <v>379854.28</v>
      </c>
      <c r="V15" s="8">
        <f t="shared" si="1"/>
        <v>422582.62871803378</v>
      </c>
      <c r="W15" s="8">
        <v>118093.12</v>
      </c>
      <c r="X15" s="8">
        <v>113252.22</v>
      </c>
      <c r="Y15" s="8">
        <v>104396.4</v>
      </c>
      <c r="Z15" s="8">
        <f t="shared" si="2"/>
        <v>509797.87</v>
      </c>
      <c r="AA15" s="8">
        <f t="shared" si="2"/>
        <v>493106.5</v>
      </c>
      <c r="AB15" s="8">
        <f t="shared" si="2"/>
        <v>526979.02871803381</v>
      </c>
      <c r="AC15" s="10">
        <f t="shared" si="3"/>
        <v>-33872.528718033805</v>
      </c>
      <c r="AD15" s="25">
        <v>-3798.54</v>
      </c>
      <c r="AE15" s="7"/>
      <c r="AF15" s="7">
        <v>-1789.02</v>
      </c>
      <c r="AG15" s="10">
        <f t="shared" si="4"/>
        <v>-39460.088718033803</v>
      </c>
    </row>
    <row r="16" spans="1:33" ht="18.75" x14ac:dyDescent="0.3">
      <c r="A16" s="19" t="s">
        <v>143</v>
      </c>
      <c r="B16" s="54">
        <v>61549.38</v>
      </c>
      <c r="C16" s="55">
        <v>40267.730000000003</v>
      </c>
      <c r="D16" s="62">
        <v>60496.73</v>
      </c>
      <c r="E16" s="8">
        <v>91742.32</v>
      </c>
      <c r="F16" s="8">
        <v>76730.67</v>
      </c>
      <c r="G16" s="8">
        <v>89970.59</v>
      </c>
      <c r="H16" s="8">
        <v>88603.28</v>
      </c>
      <c r="I16" s="8">
        <v>68082.666410690668</v>
      </c>
      <c r="J16" s="56">
        <v>91497.611960382608</v>
      </c>
      <c r="K16" s="9">
        <v>101038.97</v>
      </c>
      <c r="L16" s="9">
        <v>86325.09</v>
      </c>
      <c r="M16" s="9">
        <v>154005.57999999999</v>
      </c>
      <c r="N16" s="8">
        <f t="shared" si="0"/>
        <v>342933.95</v>
      </c>
      <c r="O16" s="8">
        <f t="shared" si="0"/>
        <v>271406.15641069063</v>
      </c>
      <c r="P16" s="8">
        <f t="shared" si="0"/>
        <v>395970.51196038257</v>
      </c>
      <c r="Q16" s="8">
        <v>129242.32142857142</v>
      </c>
      <c r="R16" s="8">
        <v>102085.98358930933</v>
      </c>
      <c r="S16" s="8">
        <v>109295.95999999999</v>
      </c>
      <c r="T16" s="8">
        <f t="shared" si="1"/>
        <v>472176.27142857143</v>
      </c>
      <c r="U16" s="8">
        <f t="shared" si="1"/>
        <v>373492.13999999996</v>
      </c>
      <c r="V16" s="8">
        <f t="shared" si="1"/>
        <v>505266.47196038254</v>
      </c>
      <c r="W16" s="8">
        <v>161066.48000000001</v>
      </c>
      <c r="X16" s="8">
        <v>165908.17000000001</v>
      </c>
      <c r="Y16" s="8">
        <v>195341.19</v>
      </c>
      <c r="Z16" s="8">
        <f t="shared" si="2"/>
        <v>633242.75142857141</v>
      </c>
      <c r="AA16" s="8">
        <f t="shared" si="2"/>
        <v>539400.30999999994</v>
      </c>
      <c r="AB16" s="8">
        <f t="shared" si="2"/>
        <v>700607.66196038248</v>
      </c>
      <c r="AC16" s="10">
        <f t="shared" si="3"/>
        <v>-161207.35196038254</v>
      </c>
      <c r="AD16" s="25">
        <v>-3734.92</v>
      </c>
      <c r="AE16" s="7">
        <v>-3726.96</v>
      </c>
      <c r="AF16" s="7">
        <v>-2191.27</v>
      </c>
      <c r="AG16" s="10">
        <f t="shared" si="4"/>
        <v>-170860.50196038253</v>
      </c>
    </row>
    <row r="17" spans="1:33" ht="18.75" x14ac:dyDescent="0.3">
      <c r="A17" s="19" t="s">
        <v>144</v>
      </c>
      <c r="B17" s="54">
        <v>60595.040000000001</v>
      </c>
      <c r="C17" s="55">
        <v>47935.08</v>
      </c>
      <c r="D17" s="62">
        <v>59281.53</v>
      </c>
      <c r="E17" s="8">
        <v>88447.7</v>
      </c>
      <c r="F17" s="8">
        <v>80716.02</v>
      </c>
      <c r="G17" s="8">
        <v>85110.18</v>
      </c>
      <c r="H17" s="8">
        <v>101723.97</v>
      </c>
      <c r="I17" s="8">
        <v>88264.581622525191</v>
      </c>
      <c r="J17" s="56">
        <v>89245.366750345711</v>
      </c>
      <c r="K17" s="9">
        <v>102813.56</v>
      </c>
      <c r="L17" s="9">
        <v>91419.08</v>
      </c>
      <c r="M17" s="9">
        <v>115221.56</v>
      </c>
      <c r="N17" s="8">
        <f t="shared" si="0"/>
        <v>353580.27</v>
      </c>
      <c r="O17" s="8">
        <f t="shared" si="0"/>
        <v>308334.76162252523</v>
      </c>
      <c r="P17" s="8">
        <f t="shared" si="0"/>
        <v>348858.6367503457</v>
      </c>
      <c r="Q17" s="8">
        <v>71052.540000000008</v>
      </c>
      <c r="R17" s="8">
        <v>64138.408377474814</v>
      </c>
      <c r="S17" s="8">
        <v>122799.19</v>
      </c>
      <c r="T17" s="8">
        <f t="shared" si="1"/>
        <v>424632.81000000006</v>
      </c>
      <c r="U17" s="8">
        <f t="shared" si="1"/>
        <v>372473.17000000004</v>
      </c>
      <c r="V17" s="8">
        <f t="shared" si="1"/>
        <v>471657.8267503457</v>
      </c>
      <c r="W17" s="8">
        <v>132610.88</v>
      </c>
      <c r="X17" s="8">
        <v>101406.01</v>
      </c>
      <c r="Y17" s="8">
        <v>192363.08</v>
      </c>
      <c r="Z17" s="8">
        <f t="shared" si="2"/>
        <v>557243.69000000006</v>
      </c>
      <c r="AA17" s="8">
        <f t="shared" si="2"/>
        <v>473879.18000000005</v>
      </c>
      <c r="AB17" s="8">
        <f t="shared" si="2"/>
        <v>664020.90675034572</v>
      </c>
      <c r="AC17" s="10">
        <f t="shared" si="3"/>
        <v>-190141.72675034567</v>
      </c>
      <c r="AD17" s="25">
        <v>-3724.73</v>
      </c>
      <c r="AE17" s="7">
        <v>-3081.09</v>
      </c>
      <c r="AF17" s="7">
        <v>-2169.5100000000002</v>
      </c>
      <c r="AG17" s="10">
        <f t="shared" si="4"/>
        <v>-199117.05675034568</v>
      </c>
    </row>
    <row r="18" spans="1:33" ht="18.75" x14ac:dyDescent="0.3">
      <c r="A18" s="19" t="s">
        <v>145</v>
      </c>
      <c r="B18" s="54">
        <f>128810.33+40501.89</f>
        <v>169312.22</v>
      </c>
      <c r="C18" s="55">
        <f>115669.06+36369.89</f>
        <v>152038.95000000001</v>
      </c>
      <c r="D18" s="62">
        <f>109842.52+38327.7</f>
        <v>148170.22</v>
      </c>
      <c r="E18" s="8">
        <v>229241.42</v>
      </c>
      <c r="F18" s="8">
        <v>218162.21</v>
      </c>
      <c r="G18" s="8">
        <v>203324.84</v>
      </c>
      <c r="H18" s="8">
        <v>253979.59999999998</v>
      </c>
      <c r="I18" s="8">
        <v>258211.91104975535</v>
      </c>
      <c r="J18" s="56">
        <v>216477.88529210771</v>
      </c>
      <c r="K18" s="9">
        <v>254944.34</v>
      </c>
      <c r="L18" s="9">
        <v>244726.5</v>
      </c>
      <c r="M18" s="9">
        <v>274382.90999999997</v>
      </c>
      <c r="N18" s="8">
        <f t="shared" si="0"/>
        <v>907477.58</v>
      </c>
      <c r="O18" s="8">
        <f t="shared" si="0"/>
        <v>873139.57104975544</v>
      </c>
      <c r="P18" s="8">
        <f t="shared" si="0"/>
        <v>842355.85529210768</v>
      </c>
      <c r="Q18" s="8">
        <v>173052.99</v>
      </c>
      <c r="R18" s="8">
        <v>170037.82895024464</v>
      </c>
      <c r="S18" s="8">
        <v>30861.08</v>
      </c>
      <c r="T18" s="8">
        <f t="shared" si="1"/>
        <v>1080530.5699999998</v>
      </c>
      <c r="U18" s="8">
        <f t="shared" si="1"/>
        <v>1043177.4000000001</v>
      </c>
      <c r="V18" s="8">
        <f t="shared" si="1"/>
        <v>873216.93529210764</v>
      </c>
      <c r="W18" s="8">
        <v>323107.62</v>
      </c>
      <c r="X18" s="8">
        <v>311522.25</v>
      </c>
      <c r="Y18" s="8">
        <v>373816.5</v>
      </c>
      <c r="Z18" s="8">
        <f t="shared" si="2"/>
        <v>1403638.19</v>
      </c>
      <c r="AA18" s="8">
        <f t="shared" si="2"/>
        <v>1354699.6500000001</v>
      </c>
      <c r="AB18" s="8">
        <f t="shared" si="2"/>
        <v>1247033.4352921075</v>
      </c>
      <c r="AC18" s="10">
        <f t="shared" si="3"/>
        <v>107666.21470789262</v>
      </c>
      <c r="AD18" s="25">
        <v>-10431.77</v>
      </c>
      <c r="AE18" s="7">
        <v>-1576</v>
      </c>
      <c r="AF18" s="7">
        <v>-4060.24</v>
      </c>
      <c r="AG18" s="10">
        <f t="shared" si="4"/>
        <v>91598.204707892612</v>
      </c>
    </row>
    <row r="19" spans="1:33" ht="18.75" x14ac:dyDescent="0.3">
      <c r="A19" s="19" t="s">
        <v>146</v>
      </c>
      <c r="B19" s="54">
        <f>277985.85+90167.07</f>
        <v>368152.92</v>
      </c>
      <c r="C19" s="55">
        <f>246907.9+80086.66</f>
        <v>326994.56</v>
      </c>
      <c r="D19" s="62">
        <f>229655.24+86033.85</f>
        <v>315689.08999999997</v>
      </c>
      <c r="E19" s="8">
        <v>528643.99</v>
      </c>
      <c r="F19" s="8">
        <v>515881.69</v>
      </c>
      <c r="G19" s="8">
        <v>491116.41</v>
      </c>
      <c r="H19" s="8">
        <v>599931.0199999999</v>
      </c>
      <c r="I19" s="8">
        <v>597696.88414688327</v>
      </c>
      <c r="J19" s="56">
        <v>514601.86896117462</v>
      </c>
      <c r="K19" s="9">
        <v>607510.49</v>
      </c>
      <c r="L19" s="9">
        <v>609913.43999999994</v>
      </c>
      <c r="M19" s="9">
        <v>641034.64</v>
      </c>
      <c r="N19" s="8">
        <f t="shared" si="0"/>
        <v>2104238.42</v>
      </c>
      <c r="O19" s="8">
        <f t="shared" si="0"/>
        <v>2050486.5741468831</v>
      </c>
      <c r="P19" s="8">
        <f t="shared" si="0"/>
        <v>1962442.0089611746</v>
      </c>
      <c r="Q19" s="8">
        <v>367042.33571428567</v>
      </c>
      <c r="R19" s="8">
        <v>366079.77585311676</v>
      </c>
      <c r="S19" s="8">
        <v>241142.41999999998</v>
      </c>
      <c r="T19" s="8">
        <f t="shared" si="1"/>
        <v>2471280.7557142857</v>
      </c>
      <c r="U19" s="8">
        <f t="shared" si="1"/>
        <v>2416566.3499999996</v>
      </c>
      <c r="V19" s="8">
        <f t="shared" si="1"/>
        <v>2203584.4289611746</v>
      </c>
      <c r="W19" s="8">
        <v>759224.52</v>
      </c>
      <c r="X19" s="8">
        <v>751425.99</v>
      </c>
      <c r="Y19" s="8">
        <v>1128023.29</v>
      </c>
      <c r="Z19" s="8">
        <f t="shared" si="2"/>
        <v>3230505.2757142857</v>
      </c>
      <c r="AA19" s="8">
        <f t="shared" si="2"/>
        <v>3167992.34</v>
      </c>
      <c r="AB19" s="8">
        <f t="shared" si="2"/>
        <v>3331607.7189611746</v>
      </c>
      <c r="AC19" s="10">
        <f t="shared" si="3"/>
        <v>-163615.37896117475</v>
      </c>
      <c r="AD19" s="25">
        <v>-24165.66</v>
      </c>
      <c r="AE19" s="7">
        <v>-282.8</v>
      </c>
      <c r="AF19" s="7">
        <v>-9111.93</v>
      </c>
      <c r="AG19" s="10">
        <f t="shared" si="4"/>
        <v>-197175.76896117473</v>
      </c>
    </row>
    <row r="20" spans="1:33" ht="18.75" x14ac:dyDescent="0.3">
      <c r="A20" s="19" t="s">
        <v>147</v>
      </c>
      <c r="B20" s="54">
        <f>280883.27+90067.84</f>
        <v>370951.11</v>
      </c>
      <c r="C20" s="55">
        <f>249023.98+79838.18</f>
        <v>328862.16000000003</v>
      </c>
      <c r="D20" s="62">
        <f>233731.51+84542.33</f>
        <v>318273.84000000003</v>
      </c>
      <c r="E20" s="8">
        <v>532951.1</v>
      </c>
      <c r="F20" s="8">
        <v>524226.09</v>
      </c>
      <c r="G20" s="8">
        <v>476740.47</v>
      </c>
      <c r="H20" s="8">
        <v>603320.06000000006</v>
      </c>
      <c r="I20" s="8">
        <v>586211.08370210289</v>
      </c>
      <c r="J20" s="56">
        <v>514640.48294331203</v>
      </c>
      <c r="K20" s="9">
        <v>605797.28</v>
      </c>
      <c r="L20" s="9">
        <v>598600.72</v>
      </c>
      <c r="M20" s="9">
        <v>652494.39</v>
      </c>
      <c r="N20" s="8">
        <f t="shared" si="0"/>
        <v>2113019.5499999998</v>
      </c>
      <c r="O20" s="8">
        <f t="shared" si="0"/>
        <v>2037900.0537021027</v>
      </c>
      <c r="P20" s="8">
        <f t="shared" si="0"/>
        <v>1962149.182943312</v>
      </c>
      <c r="Q20" s="8">
        <v>354433.62</v>
      </c>
      <c r="R20" s="8">
        <v>349464.58629789704</v>
      </c>
      <c r="S20" s="8">
        <v>684991.95</v>
      </c>
      <c r="T20" s="8">
        <f t="shared" si="1"/>
        <v>2467453.17</v>
      </c>
      <c r="U20" s="8">
        <f t="shared" si="1"/>
        <v>2387364.6399999997</v>
      </c>
      <c r="V20" s="8">
        <f t="shared" si="1"/>
        <v>2647141.1329433117</v>
      </c>
      <c r="W20" s="8">
        <v>744525.22</v>
      </c>
      <c r="X20" s="8">
        <v>721074.61</v>
      </c>
      <c r="Y20" s="8">
        <v>800873.03</v>
      </c>
      <c r="Z20" s="8">
        <f t="shared" si="2"/>
        <v>3211978.3899999997</v>
      </c>
      <c r="AA20" s="8">
        <f t="shared" si="2"/>
        <v>3108439.2499999995</v>
      </c>
      <c r="AB20" s="8">
        <f t="shared" si="2"/>
        <v>3448014.162943312</v>
      </c>
      <c r="AC20" s="10">
        <f t="shared" si="3"/>
        <v>-339574.91294331243</v>
      </c>
      <c r="AD20" s="25">
        <v>-23873.65</v>
      </c>
      <c r="AE20" s="7"/>
      <c r="AF20" s="7">
        <v>-9100.4500000000007</v>
      </c>
      <c r="AG20" s="10">
        <f t="shared" si="4"/>
        <v>-372549.01294331247</v>
      </c>
    </row>
    <row r="21" spans="1:33" ht="18.75" x14ac:dyDescent="0.3">
      <c r="A21" s="19" t="s">
        <v>148</v>
      </c>
      <c r="B21" s="54">
        <f>277119.85+90117.19</f>
        <v>367237.04</v>
      </c>
      <c r="C21" s="55">
        <f>247544.49+80620.14</f>
        <v>328164.63</v>
      </c>
      <c r="D21" s="62">
        <f>233890.89+83115.51</f>
        <v>317006.40000000002</v>
      </c>
      <c r="E21" s="8">
        <v>519426.49</v>
      </c>
      <c r="F21" s="8">
        <v>507132.45</v>
      </c>
      <c r="G21" s="8">
        <v>486214.16</v>
      </c>
      <c r="H21" s="8">
        <v>575513.96</v>
      </c>
      <c r="I21" s="8">
        <v>565023.91780843597</v>
      </c>
      <c r="J21" s="56">
        <v>509861.36294331204</v>
      </c>
      <c r="K21" s="9">
        <v>614776.72</v>
      </c>
      <c r="L21" s="9">
        <v>606707.86</v>
      </c>
      <c r="M21" s="9">
        <v>631681.65</v>
      </c>
      <c r="N21" s="8">
        <f t="shared" si="0"/>
        <v>2076954.21</v>
      </c>
      <c r="O21" s="8">
        <f t="shared" si="0"/>
        <v>2007028.8578084358</v>
      </c>
      <c r="P21" s="8">
        <f t="shared" si="0"/>
        <v>1944763.5729433121</v>
      </c>
      <c r="Q21" s="8">
        <v>497420.57000000007</v>
      </c>
      <c r="R21" s="8">
        <v>497580.58219156403</v>
      </c>
      <c r="S21" s="8">
        <v>449244.08999999997</v>
      </c>
      <c r="T21" s="8">
        <f t="shared" si="1"/>
        <v>2574374.7800000003</v>
      </c>
      <c r="U21" s="8">
        <f t="shared" si="1"/>
        <v>2504609.44</v>
      </c>
      <c r="V21" s="8">
        <f t="shared" si="1"/>
        <v>2394007.662943312</v>
      </c>
      <c r="W21" s="8">
        <v>833155.42</v>
      </c>
      <c r="X21" s="8">
        <v>837619.35</v>
      </c>
      <c r="Y21" s="8">
        <v>925377.1</v>
      </c>
      <c r="Z21" s="8">
        <f t="shared" si="2"/>
        <v>3407530.2</v>
      </c>
      <c r="AA21" s="8">
        <f t="shared" si="2"/>
        <v>3342228.79</v>
      </c>
      <c r="AB21" s="8">
        <f t="shared" si="2"/>
        <v>3319384.7629433121</v>
      </c>
      <c r="AC21" s="10">
        <f t="shared" si="3"/>
        <v>22844.027056687977</v>
      </c>
      <c r="AD21" s="25">
        <v>-25046.09</v>
      </c>
      <c r="AE21" s="7">
        <v>-616.07000000000005</v>
      </c>
      <c r="AF21" s="7">
        <v>-9100.4500000000007</v>
      </c>
      <c r="AG21" s="10">
        <f t="shared" si="4"/>
        <v>-11918.582943312023</v>
      </c>
    </row>
    <row r="22" spans="1:33" ht="18.75" x14ac:dyDescent="0.3">
      <c r="A22" s="19" t="s">
        <v>149</v>
      </c>
      <c r="B22" s="54">
        <f>132188.1+41108.1</f>
        <v>173296.2</v>
      </c>
      <c r="C22" s="55">
        <f>118591.45+36879.79</f>
        <v>155471.24</v>
      </c>
      <c r="D22" s="62">
        <f>118987.32+46859.17</f>
        <v>165846.49</v>
      </c>
      <c r="E22" s="8">
        <v>253472.75</v>
      </c>
      <c r="F22" s="8">
        <v>253566.13</v>
      </c>
      <c r="G22" s="8">
        <v>227718.48</v>
      </c>
      <c r="H22" s="8">
        <v>291573.5</v>
      </c>
      <c r="I22" s="8">
        <v>287006.90836866613</v>
      </c>
      <c r="J22" s="56">
        <v>243946.77980106595</v>
      </c>
      <c r="K22" s="9">
        <v>292084.40999999997</v>
      </c>
      <c r="L22" s="9">
        <v>282233.46000000002</v>
      </c>
      <c r="M22" s="9">
        <v>300035.13</v>
      </c>
      <c r="N22" s="8">
        <f t="shared" si="0"/>
        <v>1010426.8599999999</v>
      </c>
      <c r="O22" s="8">
        <f t="shared" si="0"/>
        <v>978277.73836866603</v>
      </c>
      <c r="P22" s="8">
        <f t="shared" si="0"/>
        <v>937546.87980106589</v>
      </c>
      <c r="Q22" s="8">
        <v>170147.14999999997</v>
      </c>
      <c r="R22" s="8">
        <v>168276.72163133387</v>
      </c>
      <c r="S22" s="8">
        <v>254252.66999999998</v>
      </c>
      <c r="T22" s="8">
        <f t="shared" si="1"/>
        <v>1180574.0099999998</v>
      </c>
      <c r="U22" s="8">
        <f t="shared" si="1"/>
        <v>1146554.46</v>
      </c>
      <c r="V22" s="8">
        <f t="shared" si="1"/>
        <v>1191799.5498010658</v>
      </c>
      <c r="W22" s="8">
        <v>374546.11</v>
      </c>
      <c r="X22" s="8">
        <v>382090.71</v>
      </c>
      <c r="Y22" s="8">
        <v>555217.75</v>
      </c>
      <c r="Z22" s="8">
        <f t="shared" si="2"/>
        <v>1555120.1199999996</v>
      </c>
      <c r="AA22" s="8">
        <f t="shared" si="2"/>
        <v>1528645.17</v>
      </c>
      <c r="AB22" s="8">
        <f t="shared" si="2"/>
        <v>1747017.2998010658</v>
      </c>
      <c r="AC22" s="10">
        <f t="shared" si="3"/>
        <v>-218372.12980106589</v>
      </c>
      <c r="AD22" s="25">
        <v>-11465.54</v>
      </c>
      <c r="AE22" s="7"/>
      <c r="AF22" s="7">
        <v>-4122.66</v>
      </c>
      <c r="AG22" s="10">
        <f t="shared" si="4"/>
        <v>-233960.32980106591</v>
      </c>
    </row>
    <row r="23" spans="1:33" ht="18.75" x14ac:dyDescent="0.3">
      <c r="A23" s="19" t="s">
        <v>150</v>
      </c>
      <c r="B23" s="54">
        <f>131294.22+41181.65</f>
        <v>172475.87</v>
      </c>
      <c r="C23" s="55">
        <f>114173.28+35811.48</f>
        <v>149984.76</v>
      </c>
      <c r="D23" s="62">
        <f>105023.3+46264.66</f>
        <v>151287.96000000002</v>
      </c>
      <c r="E23" s="8">
        <v>234127.53</v>
      </c>
      <c r="F23" s="8">
        <v>235943.91</v>
      </c>
      <c r="G23" s="8">
        <v>207455.71</v>
      </c>
      <c r="H23" s="8">
        <v>272787.34000000003</v>
      </c>
      <c r="I23" s="8">
        <v>271677.80494323489</v>
      </c>
      <c r="J23" s="56">
        <v>221811.27137844954</v>
      </c>
      <c r="K23" s="9">
        <v>274268.32</v>
      </c>
      <c r="L23" s="9">
        <v>273664.21999999997</v>
      </c>
      <c r="M23" s="9">
        <v>288594.93</v>
      </c>
      <c r="N23" s="8">
        <f t="shared" si="0"/>
        <v>953659.06</v>
      </c>
      <c r="O23" s="8">
        <f t="shared" si="0"/>
        <v>931270.69494323491</v>
      </c>
      <c r="P23" s="8">
        <f t="shared" si="0"/>
        <v>869149.87137844949</v>
      </c>
      <c r="Q23" s="8">
        <v>174982.51142857142</v>
      </c>
      <c r="R23" s="8">
        <v>174267.13505676508</v>
      </c>
      <c r="S23" s="8">
        <v>163599.47</v>
      </c>
      <c r="T23" s="8">
        <f t="shared" si="1"/>
        <v>1128641.5714285714</v>
      </c>
      <c r="U23" s="8">
        <f t="shared" si="1"/>
        <v>1105537.83</v>
      </c>
      <c r="V23" s="8">
        <f t="shared" si="1"/>
        <v>1032749.3413784495</v>
      </c>
      <c r="W23" s="8">
        <v>345353.6</v>
      </c>
      <c r="X23" s="8">
        <v>330862.73</v>
      </c>
      <c r="Y23" s="8">
        <v>351487.41</v>
      </c>
      <c r="Z23" s="8">
        <f t="shared" si="2"/>
        <v>1473995.1714285715</v>
      </c>
      <c r="AA23" s="8">
        <f t="shared" si="2"/>
        <v>1436400.56</v>
      </c>
      <c r="AB23" s="8">
        <f t="shared" si="2"/>
        <v>1384236.7513784494</v>
      </c>
      <c r="AC23" s="10">
        <f t="shared" si="3"/>
        <v>52163.808621550677</v>
      </c>
      <c r="AD23" s="25">
        <v>-11055.38</v>
      </c>
      <c r="AE23" s="7"/>
      <c r="AF23" s="7">
        <v>-4128.29</v>
      </c>
      <c r="AG23" s="10">
        <f t="shared" si="4"/>
        <v>36980.138621550679</v>
      </c>
    </row>
    <row r="24" spans="1:33" ht="19.5" x14ac:dyDescent="0.35">
      <c r="A24" s="19" t="s">
        <v>281</v>
      </c>
      <c r="B24" s="54">
        <v>9098.65</v>
      </c>
      <c r="C24" s="55">
        <v>5794.41</v>
      </c>
      <c r="D24" s="62">
        <v>5808.8</v>
      </c>
      <c r="E24" s="8">
        <v>11822.16</v>
      </c>
      <c r="F24" s="8">
        <v>11188.49</v>
      </c>
      <c r="G24" s="8">
        <v>13881.72</v>
      </c>
      <c r="H24" s="8">
        <v>13156.72</v>
      </c>
      <c r="I24" s="8">
        <v>8808.93</v>
      </c>
      <c r="J24" s="56">
        <v>16689.844900861204</v>
      </c>
      <c r="K24" s="9">
        <v>12136.32</v>
      </c>
      <c r="L24" s="9">
        <v>7713.88</v>
      </c>
      <c r="M24" s="9">
        <v>24074.16</v>
      </c>
      <c r="N24" s="8">
        <f t="shared" si="0"/>
        <v>46213.85</v>
      </c>
      <c r="O24" s="8">
        <f t="shared" si="0"/>
        <v>33505.71</v>
      </c>
      <c r="P24" s="8">
        <f t="shared" si="0"/>
        <v>60454.524900861201</v>
      </c>
      <c r="Q24" s="8">
        <v>0</v>
      </c>
      <c r="R24" s="8">
        <v>0</v>
      </c>
      <c r="S24" s="8">
        <v>4554.97</v>
      </c>
      <c r="T24" s="8">
        <f t="shared" si="1"/>
        <v>46213.85</v>
      </c>
      <c r="U24" s="8">
        <f t="shared" si="1"/>
        <v>33505.71</v>
      </c>
      <c r="V24" s="8">
        <f t="shared" si="1"/>
        <v>65009.494900861202</v>
      </c>
      <c r="W24" s="8">
        <v>12215.78</v>
      </c>
      <c r="X24" s="8">
        <v>6114.99</v>
      </c>
      <c r="Y24" s="8">
        <v>22764.37</v>
      </c>
      <c r="Z24" s="8">
        <f t="shared" si="2"/>
        <v>58429.63</v>
      </c>
      <c r="AA24" s="8">
        <f t="shared" si="2"/>
        <v>39620.699999999997</v>
      </c>
      <c r="AB24" s="8">
        <f t="shared" si="2"/>
        <v>87773.864900861197</v>
      </c>
      <c r="AC24" s="10">
        <f t="shared" si="3"/>
        <v>-48153.1649008612</v>
      </c>
      <c r="AD24" s="25">
        <v>-335.06</v>
      </c>
      <c r="AE24" s="7">
        <v>-70.87</v>
      </c>
      <c r="AF24" s="7">
        <v>-507.85</v>
      </c>
      <c r="AG24" s="10">
        <f t="shared" si="4"/>
        <v>-49066.944900861199</v>
      </c>
    </row>
    <row r="25" spans="1:33" ht="18.75" x14ac:dyDescent="0.3">
      <c r="A25" s="43" t="s">
        <v>151</v>
      </c>
      <c r="B25" s="54">
        <v>2398.11</v>
      </c>
      <c r="C25" s="55">
        <v>0</v>
      </c>
      <c r="D25" s="62">
        <v>2046.4709530140851</v>
      </c>
      <c r="E25" s="8">
        <v>3115.92</v>
      </c>
      <c r="F25" s="8"/>
      <c r="G25" s="8">
        <v>6372.07</v>
      </c>
      <c r="H25" s="8">
        <v>3467.66</v>
      </c>
      <c r="I25" s="8">
        <v>0</v>
      </c>
      <c r="J25" s="56">
        <v>7459.8470170619821</v>
      </c>
      <c r="K25" s="9">
        <v>0</v>
      </c>
      <c r="L25" s="9">
        <v>0</v>
      </c>
      <c r="M25" s="9">
        <v>570.54</v>
      </c>
      <c r="N25" s="8">
        <f t="shared" si="0"/>
        <v>8981.69</v>
      </c>
      <c r="O25" s="8">
        <f t="shared" si="0"/>
        <v>0</v>
      </c>
      <c r="P25" s="8">
        <f t="shared" si="0"/>
        <v>16448.927970076067</v>
      </c>
      <c r="Q25" s="8">
        <v>0</v>
      </c>
      <c r="R25" s="8">
        <v>0</v>
      </c>
      <c r="S25" s="8">
        <v>0</v>
      </c>
      <c r="T25" s="8">
        <f t="shared" si="1"/>
        <v>8981.69</v>
      </c>
      <c r="U25" s="8">
        <f t="shared" si="1"/>
        <v>0</v>
      </c>
      <c r="V25" s="8">
        <f t="shared" si="1"/>
        <v>16448.927970076067</v>
      </c>
      <c r="W25" s="8"/>
      <c r="X25" s="8"/>
      <c r="Y25" s="8"/>
      <c r="Z25" s="8">
        <f t="shared" si="2"/>
        <v>8981.69</v>
      </c>
      <c r="AA25" s="8">
        <f t="shared" si="2"/>
        <v>0</v>
      </c>
      <c r="AB25" s="8">
        <f t="shared" si="2"/>
        <v>16448.927970076067</v>
      </c>
      <c r="AC25" s="10">
        <f t="shared" si="3"/>
        <v>-16448.927970076067</v>
      </c>
      <c r="AD25" s="25">
        <f t="shared" ref="AD25:AD33" si="5">-AA25*0.01</f>
        <v>0</v>
      </c>
      <c r="AE25" s="7"/>
      <c r="AF25" s="7">
        <v>-233.11</v>
      </c>
      <c r="AG25" s="10">
        <f t="shared" si="4"/>
        <v>-16682.037970076068</v>
      </c>
    </row>
    <row r="26" spans="1:33" ht="19.5" x14ac:dyDescent="0.35">
      <c r="A26" s="27" t="s">
        <v>282</v>
      </c>
      <c r="B26" s="54">
        <v>3272.94</v>
      </c>
      <c r="C26" s="55">
        <v>2727.25</v>
      </c>
      <c r="D26" s="62">
        <v>2300.3128587891474</v>
      </c>
      <c r="E26" s="8">
        <v>5754.96</v>
      </c>
      <c r="F26" s="8">
        <v>5717.11</v>
      </c>
      <c r="G26" s="8">
        <v>6103.04</v>
      </c>
      <c r="H26" s="8">
        <v>5907.36</v>
      </c>
      <c r="I26" s="8">
        <v>5661.22</v>
      </c>
      <c r="J26" s="56">
        <v>7871.308433711959</v>
      </c>
      <c r="K26" s="9">
        <v>6173.92</v>
      </c>
      <c r="L26" s="9">
        <v>6153.5</v>
      </c>
      <c r="M26" s="9">
        <v>10286.549999999999</v>
      </c>
      <c r="N26" s="8">
        <f t="shared" si="0"/>
        <v>21109.18</v>
      </c>
      <c r="O26" s="8">
        <f t="shared" si="0"/>
        <v>20259.080000000002</v>
      </c>
      <c r="P26" s="8">
        <f t="shared" si="0"/>
        <v>26561.211292501106</v>
      </c>
      <c r="Q26" s="8">
        <v>0</v>
      </c>
      <c r="R26" s="8">
        <v>0</v>
      </c>
      <c r="S26" s="8">
        <v>0</v>
      </c>
      <c r="T26" s="8">
        <f t="shared" si="1"/>
        <v>21109.18</v>
      </c>
      <c r="U26" s="8">
        <f t="shared" si="1"/>
        <v>20259.080000000002</v>
      </c>
      <c r="V26" s="8">
        <f t="shared" si="1"/>
        <v>26561.211292501106</v>
      </c>
      <c r="W26" s="8">
        <v>5935.96</v>
      </c>
      <c r="X26" s="8">
        <v>6167.8</v>
      </c>
      <c r="Y26" s="8">
        <v>10053.57</v>
      </c>
      <c r="Z26" s="8">
        <f t="shared" si="2"/>
        <v>27045.14</v>
      </c>
      <c r="AA26" s="8">
        <f t="shared" si="2"/>
        <v>26426.880000000001</v>
      </c>
      <c r="AB26" s="8">
        <f t="shared" si="2"/>
        <v>36614.781292501109</v>
      </c>
      <c r="AC26" s="10">
        <f t="shared" si="3"/>
        <v>-10187.901292501108</v>
      </c>
      <c r="AD26" s="25">
        <v>-202.59</v>
      </c>
      <c r="AE26" s="7"/>
      <c r="AF26" s="7">
        <v>-223.27</v>
      </c>
      <c r="AG26" s="10">
        <f t="shared" si="4"/>
        <v>-10613.761292501109</v>
      </c>
    </row>
    <row r="27" spans="1:33" ht="19.5" x14ac:dyDescent="0.35">
      <c r="A27" s="27" t="s">
        <v>291</v>
      </c>
      <c r="B27" s="54">
        <v>5023.53</v>
      </c>
      <c r="C27" s="55">
        <v>4465.3599999999997</v>
      </c>
      <c r="D27" s="62">
        <v>3530.6979161372838</v>
      </c>
      <c r="E27" s="8">
        <v>8833.14</v>
      </c>
      <c r="F27" s="8">
        <v>8608.15</v>
      </c>
      <c r="G27" s="8">
        <v>9367.4699999999993</v>
      </c>
      <c r="H27" s="8">
        <v>9067.08</v>
      </c>
      <c r="I27" s="8">
        <v>9253.08</v>
      </c>
      <c r="J27" s="56">
        <v>11957.076272247812</v>
      </c>
      <c r="K27" s="9">
        <v>9067.08</v>
      </c>
      <c r="L27" s="9">
        <v>9067.08</v>
      </c>
      <c r="M27" s="9">
        <v>15788.69</v>
      </c>
      <c r="N27" s="8">
        <f t="shared" si="0"/>
        <v>31990.83</v>
      </c>
      <c r="O27" s="8">
        <f t="shared" si="0"/>
        <v>31393.67</v>
      </c>
      <c r="P27" s="8">
        <f t="shared" si="0"/>
        <v>40643.934188385094</v>
      </c>
      <c r="Q27" s="8">
        <v>0</v>
      </c>
      <c r="R27" s="8">
        <v>0</v>
      </c>
      <c r="S27" s="8">
        <v>0</v>
      </c>
      <c r="T27" s="8">
        <f t="shared" si="1"/>
        <v>31990.83</v>
      </c>
      <c r="U27" s="8">
        <f t="shared" si="1"/>
        <v>31393.67</v>
      </c>
      <c r="V27" s="8">
        <f t="shared" si="1"/>
        <v>40643.934188385094</v>
      </c>
      <c r="W27" s="8">
        <v>9110.9599999999991</v>
      </c>
      <c r="X27" s="8">
        <v>9089.02</v>
      </c>
      <c r="Y27" s="8">
        <v>15427.38</v>
      </c>
      <c r="Z27" s="8">
        <f t="shared" si="2"/>
        <v>41101.79</v>
      </c>
      <c r="AA27" s="8">
        <f t="shared" si="2"/>
        <v>40482.69</v>
      </c>
      <c r="AB27" s="8">
        <f t="shared" si="2"/>
        <v>56071.314188385091</v>
      </c>
      <c r="AC27" s="10">
        <f t="shared" si="3"/>
        <v>-15588.624188385089</v>
      </c>
      <c r="AD27" s="25">
        <v>-313.94</v>
      </c>
      <c r="AE27" s="7"/>
      <c r="AF27" s="7">
        <v>-342.7</v>
      </c>
      <c r="AG27" s="10">
        <f t="shared" si="4"/>
        <v>-16245.26418838509</v>
      </c>
    </row>
    <row r="28" spans="1:33" ht="19.5" x14ac:dyDescent="0.35">
      <c r="A28" s="27" t="s">
        <v>292</v>
      </c>
      <c r="B28" s="54">
        <v>20369.14</v>
      </c>
      <c r="C28" s="55">
        <v>18668.03</v>
      </c>
      <c r="D28" s="62">
        <v>17087.58583945797</v>
      </c>
      <c r="E28" s="8">
        <v>26383.26</v>
      </c>
      <c r="F28" s="8">
        <v>26269.52</v>
      </c>
      <c r="G28" s="8">
        <v>28300.54</v>
      </c>
      <c r="H28" s="8">
        <v>26244.059999999998</v>
      </c>
      <c r="I28" s="8">
        <v>29375.514852103752</v>
      </c>
      <c r="J28" s="56">
        <v>26178.605031272353</v>
      </c>
      <c r="K28" s="9">
        <v>26383.200000000001</v>
      </c>
      <c r="L28" s="9">
        <v>22721.37</v>
      </c>
      <c r="M28" s="9">
        <v>34943.760000000002</v>
      </c>
      <c r="N28" s="8">
        <f t="shared" si="0"/>
        <v>99379.659999999989</v>
      </c>
      <c r="O28" s="8">
        <f t="shared" si="0"/>
        <v>97034.434852103746</v>
      </c>
      <c r="P28" s="8">
        <f t="shared" si="0"/>
        <v>106510.49087073034</v>
      </c>
      <c r="Q28" s="8">
        <v>12933.254285714285</v>
      </c>
      <c r="R28" s="8">
        <v>13158.385147896248</v>
      </c>
      <c r="S28" s="8">
        <v>2087.44</v>
      </c>
      <c r="T28" s="8">
        <f t="shared" si="1"/>
        <v>112312.91428571427</v>
      </c>
      <c r="U28" s="8">
        <f t="shared" si="1"/>
        <v>110192.81999999999</v>
      </c>
      <c r="V28" s="8">
        <f t="shared" si="1"/>
        <v>108597.93087073034</v>
      </c>
      <c r="W28" s="8">
        <v>30172.03</v>
      </c>
      <c r="X28" s="8">
        <v>29990.6</v>
      </c>
      <c r="Y28" s="8">
        <v>34688.01</v>
      </c>
      <c r="Z28" s="8">
        <f t="shared" si="2"/>
        <v>142484.94428571427</v>
      </c>
      <c r="AA28" s="8">
        <f t="shared" si="2"/>
        <v>140183.41999999998</v>
      </c>
      <c r="AB28" s="8">
        <f t="shared" si="2"/>
        <v>143285.94087073035</v>
      </c>
      <c r="AC28" s="10">
        <f t="shared" si="3"/>
        <v>-3102.5208707303682</v>
      </c>
      <c r="AD28" s="25">
        <v>-1101.93</v>
      </c>
      <c r="AE28" s="7"/>
      <c r="AF28" s="7">
        <v>-750.3</v>
      </c>
      <c r="AG28" s="10">
        <f t="shared" si="4"/>
        <v>-4954.7508707303687</v>
      </c>
    </row>
    <row r="29" spans="1:33" ht="19.5" x14ac:dyDescent="0.35">
      <c r="A29" s="19" t="s">
        <v>293</v>
      </c>
      <c r="B29" s="54">
        <v>20349.12</v>
      </c>
      <c r="C29" s="55">
        <v>15640.98</v>
      </c>
      <c r="D29" s="62">
        <v>17070.875235268988</v>
      </c>
      <c r="E29" s="8">
        <v>27061.119999999999</v>
      </c>
      <c r="F29" s="8">
        <v>23705.63</v>
      </c>
      <c r="G29" s="8">
        <v>28212.74</v>
      </c>
      <c r="H29" s="8">
        <v>27764.95</v>
      </c>
      <c r="I29" s="8">
        <v>27156.727494001276</v>
      </c>
      <c r="J29" s="56">
        <v>26153.154907937776</v>
      </c>
      <c r="K29" s="9">
        <v>27764.95</v>
      </c>
      <c r="L29" s="9">
        <v>34131.980000000003</v>
      </c>
      <c r="M29" s="9">
        <v>34936.230000000003</v>
      </c>
      <c r="N29" s="8">
        <f t="shared" si="0"/>
        <v>102940.14</v>
      </c>
      <c r="O29" s="8">
        <f t="shared" si="0"/>
        <v>100635.31749400127</v>
      </c>
      <c r="P29" s="8">
        <f t="shared" si="0"/>
        <v>106373.00014320677</v>
      </c>
      <c r="Q29" s="8">
        <v>11275.7</v>
      </c>
      <c r="R29" s="8">
        <v>11837.752505998724</v>
      </c>
      <c r="S29" s="8">
        <v>2087.4499999999998</v>
      </c>
      <c r="T29" s="8">
        <f t="shared" si="1"/>
        <v>114215.84</v>
      </c>
      <c r="U29" s="8">
        <f t="shared" si="1"/>
        <v>112473.06999999999</v>
      </c>
      <c r="V29" s="8">
        <f t="shared" si="1"/>
        <v>108460.45014320676</v>
      </c>
      <c r="W29" s="8">
        <v>30793.08</v>
      </c>
      <c r="X29" s="8">
        <v>32577.03</v>
      </c>
      <c r="Y29" s="8">
        <v>34072.57</v>
      </c>
      <c r="Z29" s="8">
        <f t="shared" si="2"/>
        <v>145008.91999999998</v>
      </c>
      <c r="AA29" s="8">
        <f t="shared" si="2"/>
        <v>145050.09999999998</v>
      </c>
      <c r="AB29" s="8">
        <f t="shared" si="2"/>
        <v>142533.02014320676</v>
      </c>
      <c r="AC29" s="10">
        <f t="shared" si="3"/>
        <v>2517.0798567932216</v>
      </c>
      <c r="AD29" s="25">
        <v>-1124.73</v>
      </c>
      <c r="AE29" s="7"/>
      <c r="AF29" s="7">
        <v>-749.57</v>
      </c>
      <c r="AG29" s="10">
        <f t="shared" si="4"/>
        <v>642.77985679322148</v>
      </c>
    </row>
    <row r="30" spans="1:33" ht="19.5" x14ac:dyDescent="0.35">
      <c r="A30" s="19" t="s">
        <v>286</v>
      </c>
      <c r="B30" s="54">
        <v>3446.96</v>
      </c>
      <c r="C30" s="55">
        <v>3133.6</v>
      </c>
      <c r="D30" s="62">
        <v>2200.6388079063699</v>
      </c>
      <c r="E30" s="8">
        <v>4478.7</v>
      </c>
      <c r="F30" s="8">
        <v>4458.8500000000004</v>
      </c>
      <c r="G30" s="8">
        <v>5259.07</v>
      </c>
      <c r="H30" s="8">
        <v>4597.8</v>
      </c>
      <c r="I30" s="8">
        <v>4597.8</v>
      </c>
      <c r="J30" s="56">
        <v>6322.9347636595994</v>
      </c>
      <c r="K30" s="9">
        <v>4597.8</v>
      </c>
      <c r="L30" s="9">
        <v>4597.8</v>
      </c>
      <c r="M30" s="9">
        <v>8854.81</v>
      </c>
      <c r="N30" s="8">
        <f t="shared" si="0"/>
        <v>17121.259999999998</v>
      </c>
      <c r="O30" s="8">
        <f t="shared" si="0"/>
        <v>16788.05</v>
      </c>
      <c r="P30" s="8">
        <f t="shared" si="0"/>
        <v>22637.453571565966</v>
      </c>
      <c r="Q30" s="8">
        <v>0</v>
      </c>
      <c r="R30" s="8">
        <v>0</v>
      </c>
      <c r="S30" s="8">
        <v>0</v>
      </c>
      <c r="T30" s="8">
        <f t="shared" si="1"/>
        <v>17121.259999999998</v>
      </c>
      <c r="U30" s="8">
        <f t="shared" si="1"/>
        <v>16788.05</v>
      </c>
      <c r="V30" s="8">
        <f t="shared" si="1"/>
        <v>22637.453571565966</v>
      </c>
      <c r="W30" s="8">
        <v>4627.92</v>
      </c>
      <c r="X30" s="8">
        <v>4612.8599999999997</v>
      </c>
      <c r="Y30" s="8">
        <v>8647.2900000000009</v>
      </c>
      <c r="Z30" s="8">
        <f t="shared" si="2"/>
        <v>21749.18</v>
      </c>
      <c r="AA30" s="8">
        <f t="shared" si="2"/>
        <v>21400.91</v>
      </c>
      <c r="AB30" s="8">
        <f t="shared" si="2"/>
        <v>31284.743571565967</v>
      </c>
      <c r="AC30" s="10">
        <f t="shared" si="3"/>
        <v>-9883.8335715659668</v>
      </c>
      <c r="AD30" s="25">
        <v>-167.88</v>
      </c>
      <c r="AE30" s="7"/>
      <c r="AF30" s="7">
        <v>-192.4</v>
      </c>
      <c r="AG30" s="10">
        <f t="shared" si="4"/>
        <v>-10244.113571565966</v>
      </c>
    </row>
    <row r="31" spans="1:33" ht="19.5" x14ac:dyDescent="0.35">
      <c r="A31" s="19" t="s">
        <v>283</v>
      </c>
      <c r="B31" s="54">
        <v>16111.15</v>
      </c>
      <c r="C31" s="55">
        <v>9710.9500000000007</v>
      </c>
      <c r="D31" s="62">
        <v>22841.369009944472</v>
      </c>
      <c r="E31" s="8">
        <v>24011.96</v>
      </c>
      <c r="F31" s="8">
        <v>16844.18</v>
      </c>
      <c r="G31" s="8">
        <v>43677.35</v>
      </c>
      <c r="H31" s="8">
        <v>26706.239999999998</v>
      </c>
      <c r="I31" s="8">
        <v>16830.637896037279</v>
      </c>
      <c r="J31" s="56">
        <v>38308.806035211193</v>
      </c>
      <c r="K31" s="9">
        <v>41578.49</v>
      </c>
      <c r="L31" s="9">
        <v>27897.95</v>
      </c>
      <c r="M31" s="9">
        <v>76982.710000000006</v>
      </c>
      <c r="N31" s="8">
        <f t="shared" si="0"/>
        <v>108407.84</v>
      </c>
      <c r="O31" s="8">
        <f t="shared" si="0"/>
        <v>71283.717896037284</v>
      </c>
      <c r="P31" s="8">
        <f t="shared" si="0"/>
        <v>181810.23504515568</v>
      </c>
      <c r="Q31" s="8">
        <v>97696.2</v>
      </c>
      <c r="R31" s="8">
        <v>74577.282103962716</v>
      </c>
      <c r="S31" s="8">
        <v>90037.7</v>
      </c>
      <c r="T31" s="8">
        <f t="shared" si="1"/>
        <v>206104.03999999998</v>
      </c>
      <c r="U31" s="8">
        <f t="shared" si="1"/>
        <v>145861</v>
      </c>
      <c r="V31" s="8">
        <f t="shared" si="1"/>
        <v>271847.9350451557</v>
      </c>
      <c r="W31" s="8">
        <v>71564.320000000007</v>
      </c>
      <c r="X31" s="8">
        <v>56007.06</v>
      </c>
      <c r="Y31" s="8">
        <v>63760.88</v>
      </c>
      <c r="Z31" s="8">
        <f t="shared" si="2"/>
        <v>277668.36</v>
      </c>
      <c r="AA31" s="8">
        <f t="shared" si="2"/>
        <v>201868.06</v>
      </c>
      <c r="AB31" s="8">
        <f t="shared" si="2"/>
        <v>335608.8150451557</v>
      </c>
      <c r="AC31" s="10">
        <f t="shared" si="3"/>
        <v>-133740.7550451557</v>
      </c>
      <c r="AD31" s="25">
        <v>-1458.61</v>
      </c>
      <c r="AE31" s="7"/>
      <c r="AF31" s="7">
        <v>-1107.3599999999999</v>
      </c>
      <c r="AG31" s="10">
        <f t="shared" si="4"/>
        <v>-136306.72504515568</v>
      </c>
    </row>
    <row r="32" spans="1:33" ht="19.5" x14ac:dyDescent="0.35">
      <c r="A32" s="19" t="s">
        <v>284</v>
      </c>
      <c r="B32" s="54">
        <v>22772.1</v>
      </c>
      <c r="C32" s="55">
        <v>11667.37</v>
      </c>
      <c r="D32" s="62">
        <v>27995.895224483593</v>
      </c>
      <c r="E32" s="8">
        <v>38002.94</v>
      </c>
      <c r="F32" s="8">
        <v>29852.82</v>
      </c>
      <c r="G32" s="8">
        <v>51126.31</v>
      </c>
      <c r="H32" s="8">
        <v>45703.75</v>
      </c>
      <c r="I32" s="8">
        <v>38248.730000000003</v>
      </c>
      <c r="J32" s="56">
        <v>46060.203818870228</v>
      </c>
      <c r="K32" s="9">
        <v>39931.440000000002</v>
      </c>
      <c r="L32" s="9">
        <v>37405.35</v>
      </c>
      <c r="M32" s="9">
        <v>86038.24</v>
      </c>
      <c r="N32" s="8">
        <f t="shared" si="0"/>
        <v>146410.23000000001</v>
      </c>
      <c r="O32" s="8">
        <f t="shared" si="0"/>
        <v>117174.27000000002</v>
      </c>
      <c r="P32" s="8">
        <f t="shared" si="0"/>
        <v>211220.64904335383</v>
      </c>
      <c r="Q32" s="8">
        <v>131638.94</v>
      </c>
      <c r="R32" s="8">
        <v>105059.15</v>
      </c>
      <c r="S32" s="8">
        <v>45053.1</v>
      </c>
      <c r="T32" s="8">
        <f t="shared" si="1"/>
        <v>278049.17000000004</v>
      </c>
      <c r="U32" s="8">
        <f t="shared" si="1"/>
        <v>222233.42</v>
      </c>
      <c r="V32" s="8">
        <f t="shared" si="1"/>
        <v>256273.74904335383</v>
      </c>
      <c r="W32" s="8">
        <v>80226.94</v>
      </c>
      <c r="X32" s="8">
        <v>58937.27</v>
      </c>
      <c r="Y32" s="8">
        <v>92538.27</v>
      </c>
      <c r="Z32" s="8">
        <f t="shared" si="2"/>
        <v>358276.11000000004</v>
      </c>
      <c r="AA32" s="8">
        <f t="shared" si="2"/>
        <v>281170.69</v>
      </c>
      <c r="AB32" s="8">
        <f t="shared" si="2"/>
        <v>348812.01904335385</v>
      </c>
      <c r="AC32" s="10">
        <f t="shared" si="3"/>
        <v>-67641.32904335385</v>
      </c>
      <c r="AD32" s="25">
        <v>-2222.33</v>
      </c>
      <c r="AE32" s="7">
        <v>-98.5</v>
      </c>
      <c r="AF32" s="7">
        <v>-1299.42</v>
      </c>
      <c r="AG32" s="10">
        <f t="shared" si="4"/>
        <v>-71261.57904335385</v>
      </c>
    </row>
    <row r="33" spans="1:33" ht="19.5" x14ac:dyDescent="0.35">
      <c r="A33" s="43" t="s">
        <v>285</v>
      </c>
      <c r="B33" s="54">
        <v>2347.62</v>
      </c>
      <c r="C33" s="55">
        <v>533.54999999999995</v>
      </c>
      <c r="D33" s="62">
        <v>1498.8060934133655</v>
      </c>
      <c r="E33" s="8">
        <v>3377.52</v>
      </c>
      <c r="F33" s="8"/>
      <c r="G33" s="8">
        <v>3581.88</v>
      </c>
      <c r="H33" s="8">
        <v>3730.34</v>
      </c>
      <c r="I33" s="8">
        <v>0</v>
      </c>
      <c r="J33" s="56">
        <v>4572.060566888882</v>
      </c>
      <c r="K33" s="9">
        <v>288.92</v>
      </c>
      <c r="L33" s="9">
        <v>0</v>
      </c>
      <c r="M33" s="9">
        <v>325.75</v>
      </c>
      <c r="N33" s="8">
        <f t="shared" si="0"/>
        <v>9744.4</v>
      </c>
      <c r="O33" s="8">
        <f t="shared" si="0"/>
        <v>533.54999999999995</v>
      </c>
      <c r="P33" s="8">
        <f t="shared" si="0"/>
        <v>9978.4966603022476</v>
      </c>
      <c r="Q33" s="8">
        <v>0</v>
      </c>
      <c r="R33" s="8">
        <v>0</v>
      </c>
      <c r="S33" s="8">
        <v>0</v>
      </c>
      <c r="T33" s="8">
        <f t="shared" si="1"/>
        <v>9744.4</v>
      </c>
      <c r="U33" s="8">
        <f t="shared" si="1"/>
        <v>533.54999999999995</v>
      </c>
      <c r="V33" s="8">
        <f t="shared" si="1"/>
        <v>9978.4966603022476</v>
      </c>
      <c r="W33" s="8"/>
      <c r="X33" s="8"/>
      <c r="Y33" s="8"/>
      <c r="Z33" s="8">
        <f t="shared" si="2"/>
        <v>9744.4</v>
      </c>
      <c r="AA33" s="8">
        <f t="shared" si="2"/>
        <v>533.54999999999995</v>
      </c>
      <c r="AB33" s="8">
        <f t="shared" si="2"/>
        <v>9978.4966603022476</v>
      </c>
      <c r="AC33" s="10">
        <f t="shared" si="3"/>
        <v>-9444.9466603022483</v>
      </c>
      <c r="AD33" s="25">
        <f t="shared" si="5"/>
        <v>-5.3354999999999997</v>
      </c>
      <c r="AE33" s="7">
        <v>-400</v>
      </c>
      <c r="AF33" s="7">
        <v>-131.04</v>
      </c>
      <c r="AG33" s="10">
        <f t="shared" si="4"/>
        <v>-9981.3221603022484</v>
      </c>
    </row>
    <row r="34" spans="1:33" ht="19.5" x14ac:dyDescent="0.35">
      <c r="A34" s="19" t="s">
        <v>289</v>
      </c>
      <c r="B34" s="54">
        <v>3828.88</v>
      </c>
      <c r="C34" s="55">
        <v>1396</v>
      </c>
      <c r="D34" s="62">
        <v>2444.4548157249105</v>
      </c>
      <c r="E34" s="8">
        <v>5508.48</v>
      </c>
      <c r="F34" s="8">
        <v>2731.44</v>
      </c>
      <c r="G34" s="8">
        <v>5841.7</v>
      </c>
      <c r="H34" s="8">
        <v>5654.4</v>
      </c>
      <c r="I34" s="8">
        <v>9768.91</v>
      </c>
      <c r="J34" s="56">
        <v>7456.6306670290787</v>
      </c>
      <c r="K34" s="9">
        <v>5654.4</v>
      </c>
      <c r="L34" s="9">
        <v>4012.02</v>
      </c>
      <c r="M34" s="9">
        <v>9846.11</v>
      </c>
      <c r="N34" s="8">
        <f t="shared" si="0"/>
        <v>20646.16</v>
      </c>
      <c r="O34" s="8">
        <f t="shared" si="0"/>
        <v>17908.37</v>
      </c>
      <c r="P34" s="8">
        <f t="shared" si="0"/>
        <v>25588.895482753989</v>
      </c>
      <c r="Q34" s="8">
        <v>0</v>
      </c>
      <c r="R34" s="8">
        <v>0</v>
      </c>
      <c r="S34" s="8">
        <v>0</v>
      </c>
      <c r="T34" s="8">
        <f t="shared" si="1"/>
        <v>20646.16</v>
      </c>
      <c r="U34" s="8">
        <f t="shared" si="1"/>
        <v>17908.37</v>
      </c>
      <c r="V34" s="8">
        <f t="shared" si="1"/>
        <v>25588.895482753989</v>
      </c>
      <c r="W34" s="8">
        <v>5654.4</v>
      </c>
      <c r="X34" s="8">
        <v>2834.64</v>
      </c>
      <c r="Y34" s="8">
        <v>9591.81</v>
      </c>
      <c r="Z34" s="8">
        <f t="shared" si="2"/>
        <v>26300.559999999998</v>
      </c>
      <c r="AA34" s="8">
        <f t="shared" si="2"/>
        <v>20743.009999999998</v>
      </c>
      <c r="AB34" s="8">
        <f t="shared" si="2"/>
        <v>35180.705482753991</v>
      </c>
      <c r="AC34" s="10">
        <f t="shared" si="3"/>
        <v>-14437.695482753992</v>
      </c>
      <c r="AD34" s="25">
        <v>-179.08</v>
      </c>
      <c r="AE34" s="7"/>
      <c r="AF34" s="7">
        <v>-213.71</v>
      </c>
      <c r="AG34" s="10">
        <f t="shared" si="4"/>
        <v>-14830.485482753991</v>
      </c>
    </row>
    <row r="35" spans="1:33" ht="19.5" x14ac:dyDescent="0.35">
      <c r="A35" s="19" t="s">
        <v>290</v>
      </c>
      <c r="B35" s="54">
        <v>4337.74</v>
      </c>
      <c r="C35" s="55">
        <v>3943.4</v>
      </c>
      <c r="D35" s="62">
        <v>2769.3176639770536</v>
      </c>
      <c r="E35" s="8">
        <v>5486.28</v>
      </c>
      <c r="F35" s="8">
        <v>5486.28</v>
      </c>
      <c r="G35" s="8">
        <v>6618.03</v>
      </c>
      <c r="H35" s="6">
        <v>5486.28</v>
      </c>
      <c r="I35" s="6">
        <v>5566.25</v>
      </c>
      <c r="J35" s="57">
        <v>7956.8231504105734</v>
      </c>
      <c r="K35" s="58">
        <v>5486.28</v>
      </c>
      <c r="L35" s="8">
        <v>5406.31</v>
      </c>
      <c r="M35" s="9">
        <v>11137.36</v>
      </c>
      <c r="N35" s="8">
        <f t="shared" si="0"/>
        <v>20796.579999999998</v>
      </c>
      <c r="O35" s="8">
        <f t="shared" si="0"/>
        <v>20402.240000000002</v>
      </c>
      <c r="P35" s="8">
        <f t="shared" si="0"/>
        <v>28481.530814387625</v>
      </c>
      <c r="Q35" s="8">
        <v>0</v>
      </c>
      <c r="R35" s="8">
        <v>0</v>
      </c>
      <c r="S35" s="8">
        <v>0</v>
      </c>
      <c r="T35" s="8">
        <f t="shared" si="1"/>
        <v>20796.579999999998</v>
      </c>
      <c r="U35" s="8">
        <f t="shared" si="1"/>
        <v>20402.240000000002</v>
      </c>
      <c r="V35" s="8">
        <f t="shared" si="1"/>
        <v>28481.530814387625</v>
      </c>
      <c r="W35" s="8">
        <v>5486.28</v>
      </c>
      <c r="X35" s="8">
        <v>5486.28</v>
      </c>
      <c r="Y35" s="8">
        <v>10872.17</v>
      </c>
      <c r="Z35" s="8">
        <f t="shared" si="2"/>
        <v>26282.859999999997</v>
      </c>
      <c r="AA35" s="8">
        <f t="shared" si="2"/>
        <v>25888.52</v>
      </c>
      <c r="AB35" s="8">
        <f t="shared" si="2"/>
        <v>39353.700814387623</v>
      </c>
      <c r="AC35" s="10">
        <f t="shared" si="3"/>
        <v>-13465.180814387622</v>
      </c>
      <c r="AD35" s="25">
        <v>-204.02</v>
      </c>
      <c r="AE35" s="7"/>
      <c r="AF35" s="7">
        <v>-242.11</v>
      </c>
      <c r="AG35" s="10">
        <f t="shared" si="4"/>
        <v>-13911.310814387623</v>
      </c>
    </row>
    <row r="36" spans="1:33" ht="19.5" x14ac:dyDescent="0.35">
      <c r="A36" s="19" t="s">
        <v>287</v>
      </c>
      <c r="B36" s="54">
        <v>22567.16</v>
      </c>
      <c r="C36" s="55">
        <v>17462.78</v>
      </c>
      <c r="D36" s="62">
        <v>27931.391543452482</v>
      </c>
      <c r="E36" s="8">
        <v>32508.43</v>
      </c>
      <c r="F36" s="8">
        <v>26124.74</v>
      </c>
      <c r="G36" s="8">
        <v>51195.44</v>
      </c>
      <c r="H36" s="8">
        <v>39723.480000000003</v>
      </c>
      <c r="I36" s="8">
        <v>33168.019999999997</v>
      </c>
      <c r="J36" s="56">
        <v>43318.37035220737</v>
      </c>
      <c r="K36" s="9">
        <v>33227.56</v>
      </c>
      <c r="L36" s="9">
        <v>20424.45</v>
      </c>
      <c r="M36" s="9">
        <v>64002.36</v>
      </c>
      <c r="N36" s="8">
        <f t="shared" si="0"/>
        <v>128026.63</v>
      </c>
      <c r="O36" s="8">
        <f t="shared" si="0"/>
        <v>97179.99</v>
      </c>
      <c r="P36" s="8">
        <f t="shared" si="0"/>
        <v>186447.56189565983</v>
      </c>
      <c r="Q36" s="8">
        <v>127269.79999999999</v>
      </c>
      <c r="R36" s="8">
        <v>99333.95</v>
      </c>
      <c r="S36" s="8">
        <v>18723.14</v>
      </c>
      <c r="T36" s="8">
        <f t="shared" si="1"/>
        <v>255296.43</v>
      </c>
      <c r="U36" s="8">
        <f t="shared" si="1"/>
        <v>196513.94</v>
      </c>
      <c r="V36" s="8">
        <f t="shared" si="1"/>
        <v>205170.70189565985</v>
      </c>
      <c r="W36" s="8">
        <v>71903.97</v>
      </c>
      <c r="X36" s="8">
        <v>64328.77</v>
      </c>
      <c r="Y36" s="8">
        <v>64940.83</v>
      </c>
      <c r="Z36" s="8">
        <f t="shared" si="2"/>
        <v>327200.40000000002</v>
      </c>
      <c r="AA36" s="8">
        <f t="shared" si="2"/>
        <v>260842.71</v>
      </c>
      <c r="AB36" s="8">
        <f t="shared" si="2"/>
        <v>270111.53189565986</v>
      </c>
      <c r="AC36" s="10">
        <f t="shared" si="3"/>
        <v>-9268.8218956598721</v>
      </c>
      <c r="AD36" s="25">
        <v>-1965.14</v>
      </c>
      <c r="AE36" s="7"/>
      <c r="AF36" s="7">
        <v>-1301.67</v>
      </c>
      <c r="AG36" s="10">
        <f t="shared" si="4"/>
        <v>-12535.631895659872</v>
      </c>
    </row>
    <row r="37" spans="1:33" ht="19.5" x14ac:dyDescent="0.35">
      <c r="A37" s="69" t="s">
        <v>288</v>
      </c>
      <c r="B37" s="59">
        <v>22719.18</v>
      </c>
      <c r="C37" s="60">
        <v>18609.95</v>
      </c>
      <c r="D37" s="62">
        <v>28047.845228432059</v>
      </c>
      <c r="E37" s="8">
        <v>35077.06</v>
      </c>
      <c r="F37" s="8">
        <v>27579.919999999998</v>
      </c>
      <c r="G37" s="8">
        <v>54198.01</v>
      </c>
      <c r="H37" s="8">
        <v>43806.16</v>
      </c>
      <c r="I37" s="8">
        <v>34012.019999999997</v>
      </c>
      <c r="J37" s="56">
        <v>43951.194235548814</v>
      </c>
      <c r="K37" s="9">
        <v>36781.839999999997</v>
      </c>
      <c r="L37" s="9">
        <v>38628.199999999997</v>
      </c>
      <c r="M37" s="9">
        <v>67778.240000000005</v>
      </c>
      <c r="N37" s="8">
        <f t="shared" si="0"/>
        <v>138384.24</v>
      </c>
      <c r="O37" s="8">
        <f t="shared" si="0"/>
        <v>118830.08999999998</v>
      </c>
      <c r="P37" s="8">
        <f t="shared" si="0"/>
        <v>193975.28946398088</v>
      </c>
      <c r="Q37" s="8">
        <v>137449.09</v>
      </c>
      <c r="R37" s="8">
        <v>114799.54000000001</v>
      </c>
      <c r="S37" s="8">
        <v>26383.95</v>
      </c>
      <c r="T37" s="8">
        <f t="shared" si="1"/>
        <v>275833.32999999996</v>
      </c>
      <c r="U37" s="8">
        <f t="shared" si="1"/>
        <v>233629.63</v>
      </c>
      <c r="V37" s="8">
        <f t="shared" si="1"/>
        <v>220359.23946398089</v>
      </c>
      <c r="W37" s="8">
        <v>79342.62</v>
      </c>
      <c r="X37" s="8">
        <v>59256.63</v>
      </c>
      <c r="Y37" s="8">
        <v>70656.149999999994</v>
      </c>
      <c r="Z37" s="8">
        <f t="shared" si="2"/>
        <v>355175.94999999995</v>
      </c>
      <c r="AA37" s="8">
        <f t="shared" si="2"/>
        <v>292886.26</v>
      </c>
      <c r="AB37" s="8">
        <f t="shared" si="2"/>
        <v>291015.38946398092</v>
      </c>
      <c r="AC37" s="10">
        <f t="shared" si="3"/>
        <v>1870.8705360190943</v>
      </c>
      <c r="AD37" s="25">
        <v>-2336.3000000000002</v>
      </c>
      <c r="AE37" s="7">
        <v>-1135.94</v>
      </c>
      <c r="AF37" s="7">
        <v>-1306.45</v>
      </c>
      <c r="AG37" s="10">
        <f t="shared" si="4"/>
        <v>-2907.8194639809062</v>
      </c>
    </row>
    <row r="38" spans="1:33" x14ac:dyDescent="0.25">
      <c r="A38" s="63" t="s">
        <v>152</v>
      </c>
      <c r="B38" s="64">
        <f t="shared" ref="B38:J38" si="6">SUM(B6:B37)</f>
        <v>2608963.9200000009</v>
      </c>
      <c r="C38" s="64">
        <f t="shared" si="6"/>
        <v>2273395.88</v>
      </c>
      <c r="D38" s="65">
        <f t="shared" si="6"/>
        <v>2303175.8011900019</v>
      </c>
      <c r="E38" s="66">
        <f t="shared" si="6"/>
        <v>3732533.0199999996</v>
      </c>
      <c r="F38" s="66">
        <f t="shared" si="6"/>
        <v>3588875.6</v>
      </c>
      <c r="G38" s="66">
        <f t="shared" si="6"/>
        <v>3528269.04</v>
      </c>
      <c r="H38" s="66">
        <f t="shared" si="6"/>
        <v>4175315.45</v>
      </c>
      <c r="I38" s="66">
        <f t="shared" si="6"/>
        <v>4041515.0235298183</v>
      </c>
      <c r="J38" s="67">
        <f t="shared" si="6"/>
        <v>3672436.2400000007</v>
      </c>
      <c r="K38" s="68">
        <f>SUM(K6:K37)</f>
        <v>4245960.8699999992</v>
      </c>
      <c r="L38" s="68">
        <f>SUM(L6:L37)</f>
        <v>4121232.5900000008</v>
      </c>
      <c r="M38" s="68">
        <f>SUM(M6:M37)</f>
        <v>4759253.3400000017</v>
      </c>
      <c r="N38" s="8">
        <f t="shared" si="0"/>
        <v>14762773.26</v>
      </c>
      <c r="O38" s="8">
        <f t="shared" si="0"/>
        <v>14025019.09352982</v>
      </c>
      <c r="P38" s="8">
        <f t="shared" si="0"/>
        <v>14263134.421190005</v>
      </c>
      <c r="Q38" s="8">
        <v>3558924.518571429</v>
      </c>
      <c r="R38" s="8">
        <v>3395362.2164701819</v>
      </c>
      <c r="S38" s="8">
        <v>2962542.13</v>
      </c>
      <c r="T38" s="8">
        <f t="shared" si="1"/>
        <v>18321697.778571427</v>
      </c>
      <c r="U38" s="8">
        <f t="shared" si="1"/>
        <v>17420381.310000002</v>
      </c>
      <c r="V38" s="8">
        <f t="shared" si="1"/>
        <v>17225676.551190004</v>
      </c>
      <c r="W38" s="8">
        <f>SUM(W6:W37)</f>
        <v>5671006.9000000013</v>
      </c>
      <c r="X38" s="8">
        <f>SUM(X6:X37)</f>
        <v>5455744.3199999975</v>
      </c>
      <c r="Y38" s="8">
        <f>SUM(Y6:Y37)</f>
        <v>6569407.4799999995</v>
      </c>
      <c r="Z38" s="8">
        <f t="shared" si="2"/>
        <v>23992704.678571429</v>
      </c>
      <c r="AA38" s="8">
        <f t="shared" si="2"/>
        <v>22876125.629999999</v>
      </c>
      <c r="AB38" s="8">
        <f t="shared" si="2"/>
        <v>23795084.031190004</v>
      </c>
      <c r="AC38" s="10">
        <f t="shared" si="3"/>
        <v>-918958.40119000524</v>
      </c>
      <c r="AD38" s="25">
        <f>SUM(AD6:AD37)</f>
        <v>-174203.79549999995</v>
      </c>
      <c r="AE38" s="7">
        <f>SUM(AE6:AE37)</f>
        <v>-13348.95</v>
      </c>
      <c r="AF38" s="7">
        <f>SUM(AF6:AF37)</f>
        <v>-73711.490000000005</v>
      </c>
      <c r="AG38" s="10">
        <f>SUM(AG6:AG37)</f>
        <v>-1180222.6366900017</v>
      </c>
    </row>
  </sheetData>
  <mergeCells count="15">
    <mergeCell ref="AD4:AD5"/>
    <mergeCell ref="AE4:AE5"/>
    <mergeCell ref="AF4:AF5"/>
    <mergeCell ref="AD3:AF3"/>
    <mergeCell ref="AG3:AG5"/>
    <mergeCell ref="B4:D4"/>
    <mergeCell ref="E4:G4"/>
    <mergeCell ref="H4:J4"/>
    <mergeCell ref="K4:M4"/>
    <mergeCell ref="N4:P4"/>
    <mergeCell ref="Q4:S4"/>
    <mergeCell ref="T4:V4"/>
    <mergeCell ref="W4:Y4"/>
    <mergeCell ref="Z3:AB4"/>
    <mergeCell ref="AC3:AC5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31"/>
  <sheetViews>
    <sheetView topLeftCell="Y1" workbookViewId="0">
      <selection activeCell="D31" sqref="D31"/>
    </sheetView>
  </sheetViews>
  <sheetFormatPr defaultRowHeight="15.75" x14ac:dyDescent="0.25"/>
  <cols>
    <col min="1" max="1" width="25.625" style="6" customWidth="1"/>
    <col min="2" max="2" width="13" style="6" customWidth="1"/>
    <col min="3" max="3" width="12.875" style="6" customWidth="1"/>
    <col min="4" max="4" width="12.625" style="6" customWidth="1"/>
    <col min="5" max="5" width="12.375" style="6" customWidth="1"/>
    <col min="6" max="6" width="13" style="6" customWidth="1"/>
    <col min="7" max="7" width="12.5" style="6" customWidth="1"/>
    <col min="8" max="8" width="13.625" style="6" customWidth="1"/>
    <col min="9" max="9" width="12.625" style="6" customWidth="1"/>
    <col min="10" max="10" width="12.25" style="6" customWidth="1"/>
    <col min="11" max="11" width="13" style="6" customWidth="1"/>
    <col min="12" max="12" width="12.875" style="6" customWidth="1"/>
    <col min="13" max="13" width="13.625" style="6" customWidth="1"/>
    <col min="14" max="14" width="13.5" style="6" customWidth="1"/>
    <col min="15" max="15" width="13.875" style="6" customWidth="1"/>
    <col min="16" max="16" width="14.125" style="6" customWidth="1"/>
    <col min="17" max="17" width="12.875" style="6" customWidth="1"/>
    <col min="18" max="18" width="11.25" style="6" customWidth="1"/>
    <col min="19" max="19" width="11.875" style="6" customWidth="1"/>
    <col min="20" max="20" width="13.625" style="6" customWidth="1"/>
    <col min="21" max="21" width="13.5" style="6" customWidth="1"/>
    <col min="22" max="22" width="14.75" style="6" customWidth="1"/>
    <col min="23" max="23" width="12.875" style="6" customWidth="1"/>
    <col min="24" max="24" width="11.625" style="6" customWidth="1"/>
    <col min="25" max="25" width="13.125" style="6" customWidth="1"/>
    <col min="26" max="26" width="13.875" style="6" customWidth="1"/>
    <col min="27" max="27" width="13.375" style="6" customWidth="1"/>
    <col min="28" max="28" width="13.875" style="6" customWidth="1"/>
    <col min="29" max="29" width="13.5" style="6" customWidth="1"/>
    <col min="30" max="30" width="10.875" style="6" customWidth="1"/>
    <col min="31" max="31" width="9.875" style="6" customWidth="1"/>
    <col min="32" max="32" width="10.75" style="6" customWidth="1"/>
    <col min="33" max="33" width="14.125" style="6" customWidth="1"/>
    <col min="34" max="34" width="12.5" style="6" customWidth="1"/>
    <col min="35" max="35" width="14.25" style="6" customWidth="1"/>
    <col min="36" max="16384" width="9" style="6"/>
  </cols>
  <sheetData>
    <row r="3" spans="1:39" ht="20.25" x14ac:dyDescent="0.3">
      <c r="AC3" s="73" t="s">
        <v>154</v>
      </c>
    </row>
    <row r="4" spans="1:39" ht="42" customHeight="1" x14ac:dyDescent="0.25">
      <c r="A4" s="35" t="s">
        <v>154</v>
      </c>
      <c r="B4" s="157" t="s">
        <v>49</v>
      </c>
      <c r="C4" s="158"/>
      <c r="D4" s="158"/>
      <c r="E4" s="158"/>
      <c r="F4" s="158"/>
      <c r="G4" s="158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17" t="s">
        <v>49</v>
      </c>
      <c r="AA4" s="17"/>
      <c r="AB4" s="17"/>
      <c r="AC4" s="143" t="s">
        <v>303</v>
      </c>
      <c r="AD4" s="149" t="s">
        <v>50</v>
      </c>
      <c r="AE4" s="149"/>
      <c r="AF4" s="149"/>
      <c r="AG4" s="149"/>
      <c r="AH4" s="149"/>
      <c r="AI4" s="138" t="s">
        <v>302</v>
      </c>
      <c r="AJ4" s="70"/>
      <c r="AK4" s="70"/>
      <c r="AL4" s="70"/>
      <c r="AM4" s="70"/>
    </row>
    <row r="5" spans="1:39" ht="24.75" customHeight="1" x14ac:dyDescent="0.25">
      <c r="A5" s="159" t="s">
        <v>44</v>
      </c>
      <c r="B5" s="132" t="s">
        <v>268</v>
      </c>
      <c r="C5" s="132"/>
      <c r="D5" s="132"/>
      <c r="E5" s="132" t="s">
        <v>269</v>
      </c>
      <c r="F5" s="132"/>
      <c r="G5" s="132"/>
      <c r="H5" s="132" t="s">
        <v>270</v>
      </c>
      <c r="I5" s="132"/>
      <c r="J5" s="132"/>
      <c r="K5" s="146" t="s">
        <v>271</v>
      </c>
      <c r="L5" s="147"/>
      <c r="M5" s="148"/>
      <c r="N5" s="146" t="s">
        <v>299</v>
      </c>
      <c r="O5" s="147"/>
      <c r="P5" s="148"/>
      <c r="Q5" s="146" t="s">
        <v>299</v>
      </c>
      <c r="R5" s="147"/>
      <c r="S5" s="148"/>
      <c r="T5" s="146" t="s">
        <v>300</v>
      </c>
      <c r="U5" s="147"/>
      <c r="V5" s="148"/>
      <c r="W5" s="146" t="s">
        <v>297</v>
      </c>
      <c r="X5" s="147"/>
      <c r="Y5" s="148"/>
      <c r="Z5" s="146" t="s">
        <v>275</v>
      </c>
      <c r="AA5" s="147"/>
      <c r="AB5" s="147"/>
      <c r="AC5" s="143"/>
      <c r="AD5" s="136" t="s">
        <v>301</v>
      </c>
      <c r="AE5" s="136" t="s">
        <v>51</v>
      </c>
      <c r="AF5" s="136" t="s">
        <v>6</v>
      </c>
      <c r="AG5" s="136" t="s">
        <v>3</v>
      </c>
      <c r="AH5" s="141" t="s">
        <v>304</v>
      </c>
      <c r="AI5" s="151"/>
      <c r="AJ5" s="70"/>
      <c r="AK5" s="70"/>
      <c r="AL5" s="70"/>
      <c r="AM5" s="70"/>
    </row>
    <row r="6" spans="1:39" ht="102" customHeight="1" x14ac:dyDescent="0.25">
      <c r="A6" s="159"/>
      <c r="B6" s="17" t="s">
        <v>8</v>
      </c>
      <c r="C6" s="17" t="s">
        <v>9</v>
      </c>
      <c r="D6" s="38" t="s">
        <v>10</v>
      </c>
      <c r="E6" s="17" t="s">
        <v>8</v>
      </c>
      <c r="F6" s="17" t="s">
        <v>9</v>
      </c>
      <c r="G6" s="17" t="s">
        <v>10</v>
      </c>
      <c r="H6" s="17" t="s">
        <v>8</v>
      </c>
      <c r="I6" s="17" t="s">
        <v>9</v>
      </c>
      <c r="J6" s="17" t="s">
        <v>10</v>
      </c>
      <c r="K6" s="17" t="s">
        <v>8</v>
      </c>
      <c r="L6" s="17" t="s">
        <v>9</v>
      </c>
      <c r="M6" s="17" t="s">
        <v>10</v>
      </c>
      <c r="N6" s="17" t="s">
        <v>8</v>
      </c>
      <c r="O6" s="17" t="s">
        <v>9</v>
      </c>
      <c r="P6" s="17" t="s">
        <v>10</v>
      </c>
      <c r="Q6" s="17" t="s">
        <v>8</v>
      </c>
      <c r="R6" s="17" t="s">
        <v>9</v>
      </c>
      <c r="S6" s="17" t="s">
        <v>10</v>
      </c>
      <c r="T6" s="17" t="s">
        <v>8</v>
      </c>
      <c r="U6" s="17" t="s">
        <v>9</v>
      </c>
      <c r="V6" s="17" t="s">
        <v>10</v>
      </c>
      <c r="W6" s="17" t="s">
        <v>8</v>
      </c>
      <c r="X6" s="17" t="s">
        <v>9</v>
      </c>
      <c r="Y6" s="17" t="s">
        <v>10</v>
      </c>
      <c r="Z6" s="17" t="s">
        <v>8</v>
      </c>
      <c r="AA6" s="17" t="s">
        <v>9</v>
      </c>
      <c r="AB6" s="52" t="s">
        <v>10</v>
      </c>
      <c r="AC6" s="143"/>
      <c r="AD6" s="136"/>
      <c r="AE6" s="136"/>
      <c r="AF6" s="136"/>
      <c r="AG6" s="136"/>
      <c r="AH6" s="142"/>
      <c r="AI6" s="152"/>
      <c r="AJ6" s="70"/>
      <c r="AK6" s="70"/>
      <c r="AL6" s="70"/>
      <c r="AM6" s="70"/>
    </row>
    <row r="7" spans="1:39" ht="22.5" customHeight="1" x14ac:dyDescent="0.25">
      <c r="A7" s="18" t="s">
        <v>155</v>
      </c>
      <c r="B7" s="8">
        <f>76581.4+17725.56</f>
        <v>94306.959999999992</v>
      </c>
      <c r="C7" s="8">
        <f>62645.2+14499.88</f>
        <v>77145.08</v>
      </c>
      <c r="D7" s="8">
        <f>80328.4190215616+19279.96</f>
        <v>99608.379021561588</v>
      </c>
      <c r="E7" s="7">
        <v>127141.95</v>
      </c>
      <c r="F7" s="7">
        <v>127544.61</v>
      </c>
      <c r="G7" s="7">
        <v>124312.47</v>
      </c>
      <c r="H7" s="8">
        <v>143660.99000000002</v>
      </c>
      <c r="I7" s="8">
        <v>137820.34634109671</v>
      </c>
      <c r="J7" s="8">
        <v>125199.38333784349</v>
      </c>
      <c r="K7" s="8">
        <v>147702.92000000001</v>
      </c>
      <c r="L7" s="8">
        <v>154942.90571554523</v>
      </c>
      <c r="M7" s="8">
        <v>147329.30287389478</v>
      </c>
      <c r="N7" s="8">
        <f>B7+E7+H7+K7</f>
        <v>512812.82000000007</v>
      </c>
      <c r="O7" s="8">
        <f>C7+F7+I7+L7</f>
        <v>497452.94205664197</v>
      </c>
      <c r="P7" s="8">
        <f>D7+G7+J7+M7</f>
        <v>496449.53523329983</v>
      </c>
      <c r="Q7" s="7">
        <v>92613.34</v>
      </c>
      <c r="R7" s="7">
        <v>93247.77</v>
      </c>
      <c r="S7" s="7">
        <v>149207.57</v>
      </c>
      <c r="T7" s="8">
        <f>N7+Q7</f>
        <v>605426.16</v>
      </c>
      <c r="U7" s="8">
        <f>O7+R7</f>
        <v>590700.71205664193</v>
      </c>
      <c r="V7" s="8">
        <f>P7+S7</f>
        <v>645657.10523329978</v>
      </c>
      <c r="W7" s="7">
        <v>179905.93</v>
      </c>
      <c r="X7" s="7">
        <v>183486.39</v>
      </c>
      <c r="Y7" s="7">
        <v>172552.07</v>
      </c>
      <c r="Z7" s="8">
        <f>T7+W7</f>
        <v>785332.09000000008</v>
      </c>
      <c r="AA7" s="8">
        <f>U7+X7</f>
        <v>774187.10205664195</v>
      </c>
      <c r="AB7" s="8">
        <f>V7+Y7</f>
        <v>818209.17523329984</v>
      </c>
      <c r="AC7" s="10">
        <f>AA7-AB7</f>
        <v>-44022.073176657897</v>
      </c>
      <c r="AD7" s="74">
        <v>-5907.01</v>
      </c>
      <c r="AE7" s="7">
        <v>-2200.5500000000002</v>
      </c>
      <c r="AF7" s="7">
        <v>-402.67</v>
      </c>
      <c r="AG7" s="7"/>
      <c r="AH7" s="7"/>
      <c r="AI7" s="10">
        <f>AC7+AD7+AE7+AF7+AG7</f>
        <v>-52532.303176657901</v>
      </c>
    </row>
    <row r="8" spans="1:39" ht="20.25" customHeight="1" x14ac:dyDescent="0.25">
      <c r="A8" s="18" t="s">
        <v>156</v>
      </c>
      <c r="B8" s="8">
        <f>76935.1+17787.47</f>
        <v>94722.57</v>
      </c>
      <c r="C8" s="8">
        <f>68989.14+15950.31</f>
        <v>84939.45</v>
      </c>
      <c r="D8" s="8">
        <f>78584.0417317767+19298.4</f>
        <v>97882.441731776693</v>
      </c>
      <c r="E8" s="7">
        <v>127684.82</v>
      </c>
      <c r="F8" s="7">
        <v>128418.92</v>
      </c>
      <c r="G8" s="7">
        <v>119379.12</v>
      </c>
      <c r="H8" s="8">
        <v>143872.72999999998</v>
      </c>
      <c r="I8" s="8">
        <v>140927.17932776714</v>
      </c>
      <c r="J8" s="8">
        <v>124055.87965976866</v>
      </c>
      <c r="K8" s="8">
        <v>148303.03</v>
      </c>
      <c r="L8" s="8">
        <v>151050.7492869171</v>
      </c>
      <c r="M8" s="8">
        <v>146992.74483589895</v>
      </c>
      <c r="N8" s="8">
        <f t="shared" ref="N8:P31" si="0">B8+E8+H8+K8</f>
        <v>514583.15</v>
      </c>
      <c r="O8" s="8">
        <f t="shared" si="0"/>
        <v>505336.2986146842</v>
      </c>
      <c r="P8" s="8">
        <f t="shared" si="0"/>
        <v>488310.18622744433</v>
      </c>
      <c r="Q8" s="7">
        <v>92540.23</v>
      </c>
      <c r="R8" s="7">
        <v>92733.51999999999</v>
      </c>
      <c r="S8" s="7">
        <v>84138.11</v>
      </c>
      <c r="T8" s="8">
        <f t="shared" ref="T8:V30" si="1">N8+Q8</f>
        <v>607123.38</v>
      </c>
      <c r="U8" s="8">
        <f t="shared" si="1"/>
        <v>598069.81861468416</v>
      </c>
      <c r="V8" s="8">
        <f t="shared" si="1"/>
        <v>572448.29622744431</v>
      </c>
      <c r="W8" s="7">
        <v>180920.81</v>
      </c>
      <c r="X8" s="7">
        <v>176827.92</v>
      </c>
      <c r="Y8" s="7">
        <v>217639.73</v>
      </c>
      <c r="Z8" s="8">
        <f t="shared" ref="Z8:AB30" si="2">T8+W8</f>
        <v>788044.19</v>
      </c>
      <c r="AA8" s="8">
        <f t="shared" si="2"/>
        <v>774897.7386146842</v>
      </c>
      <c r="AB8" s="8">
        <f t="shared" si="2"/>
        <v>790088.02622744429</v>
      </c>
      <c r="AC8" s="10">
        <f t="shared" ref="AC8:AC30" si="3">AA8-AB8</f>
        <v>-15190.28761276009</v>
      </c>
      <c r="AD8" s="74">
        <v>-5980.7</v>
      </c>
      <c r="AE8" s="7">
        <v>-2205.33</v>
      </c>
      <c r="AF8" s="7"/>
      <c r="AG8" s="7"/>
      <c r="AH8" s="7"/>
      <c r="AI8" s="10">
        <f t="shared" ref="AI8:AI31" si="4">AC8+AD8+AE8+AF8+AG8</f>
        <v>-23376.317612760089</v>
      </c>
    </row>
    <row r="9" spans="1:39" ht="19.5" customHeight="1" x14ac:dyDescent="0.25">
      <c r="A9" s="18" t="s">
        <v>157</v>
      </c>
      <c r="B9" s="8">
        <f>77254.54+17861.14</f>
        <v>95115.68</v>
      </c>
      <c r="C9" s="8">
        <f>65902.85+15236.67</f>
        <v>81139.520000000004</v>
      </c>
      <c r="D9" s="8">
        <f>79497.6235833338+19377.8</f>
        <v>98875.423583333803</v>
      </c>
      <c r="E9" s="7">
        <v>128245.61</v>
      </c>
      <c r="F9" s="7">
        <v>131404.85999999999</v>
      </c>
      <c r="G9" s="7">
        <v>126429.07</v>
      </c>
      <c r="H9" s="8">
        <v>142683.10999999999</v>
      </c>
      <c r="I9" s="8">
        <v>141708.68821588063</v>
      </c>
      <c r="J9" s="8">
        <v>127359.23660651931</v>
      </c>
      <c r="K9" s="8">
        <v>148935.89999999997</v>
      </c>
      <c r="L9" s="8">
        <v>149167.53378138307</v>
      </c>
      <c r="M9" s="8">
        <v>143451.50356930919</v>
      </c>
      <c r="N9" s="8">
        <f t="shared" si="0"/>
        <v>514980.29999999993</v>
      </c>
      <c r="O9" s="8">
        <f t="shared" si="0"/>
        <v>503420.60199726373</v>
      </c>
      <c r="P9" s="8">
        <f t="shared" si="0"/>
        <v>496115.23375916231</v>
      </c>
      <c r="Q9" s="7">
        <v>92925.13</v>
      </c>
      <c r="R9" s="7">
        <v>92839.37999999999</v>
      </c>
      <c r="S9" s="7">
        <v>53200.29</v>
      </c>
      <c r="T9" s="8">
        <f t="shared" si="1"/>
        <v>607905.42999999993</v>
      </c>
      <c r="U9" s="8">
        <f t="shared" si="1"/>
        <v>596259.98199726373</v>
      </c>
      <c r="V9" s="8">
        <f t="shared" si="1"/>
        <v>549315.52375916229</v>
      </c>
      <c r="W9" s="7">
        <v>181442.91</v>
      </c>
      <c r="X9" s="7">
        <v>185987.55</v>
      </c>
      <c r="Y9" s="7">
        <v>156982.5</v>
      </c>
      <c r="Z9" s="8">
        <f t="shared" si="2"/>
        <v>789348.34</v>
      </c>
      <c r="AA9" s="8">
        <f t="shared" si="2"/>
        <v>782247.53199726366</v>
      </c>
      <c r="AB9" s="8">
        <f t="shared" si="2"/>
        <v>706298.02375916229</v>
      </c>
      <c r="AC9" s="10">
        <f t="shared" si="3"/>
        <v>75949.508238101378</v>
      </c>
      <c r="AD9" s="74">
        <v>-5962.6</v>
      </c>
      <c r="AE9" s="7">
        <v>-2214.4899999999998</v>
      </c>
      <c r="AF9" s="7"/>
      <c r="AG9" s="7"/>
      <c r="AH9" s="7"/>
      <c r="AI9" s="10">
        <f t="shared" si="4"/>
        <v>67772.418238101367</v>
      </c>
    </row>
    <row r="10" spans="1:39" ht="17.25" customHeight="1" x14ac:dyDescent="0.25">
      <c r="A10" s="18" t="s">
        <v>158</v>
      </c>
      <c r="B10" s="8">
        <f>77472.67+16068.03</f>
        <v>93540.7</v>
      </c>
      <c r="C10" s="8">
        <f>57024.77+11827.13</f>
        <v>68851.899999999994</v>
      </c>
      <c r="D10" s="8">
        <f>77383.3908494948+19478.75</f>
        <v>96862.140849494797</v>
      </c>
      <c r="E10" s="7">
        <v>126516.77</v>
      </c>
      <c r="F10" s="7">
        <v>122836.9</v>
      </c>
      <c r="G10" s="7">
        <v>117705.84</v>
      </c>
      <c r="H10" s="8">
        <v>140463.67999999999</v>
      </c>
      <c r="I10" s="8">
        <v>123107.26323677154</v>
      </c>
      <c r="J10" s="8">
        <v>151562.04970733091</v>
      </c>
      <c r="K10" s="8">
        <v>146338.69000000003</v>
      </c>
      <c r="L10" s="8">
        <v>122251.57920271766</v>
      </c>
      <c r="M10" s="8">
        <v>139234.36427568027</v>
      </c>
      <c r="N10" s="8">
        <f t="shared" si="0"/>
        <v>506859.84000000008</v>
      </c>
      <c r="O10" s="8">
        <f t="shared" si="0"/>
        <v>437047.64243948914</v>
      </c>
      <c r="P10" s="8">
        <f t="shared" si="0"/>
        <v>505364.39483250596</v>
      </c>
      <c r="Q10" s="7">
        <v>118318.34</v>
      </c>
      <c r="R10" s="7">
        <v>104014.46</v>
      </c>
      <c r="S10" s="7">
        <v>28213.8</v>
      </c>
      <c r="T10" s="8">
        <f t="shared" si="1"/>
        <v>625178.18000000005</v>
      </c>
      <c r="U10" s="8">
        <f t="shared" si="1"/>
        <v>541062.1024394891</v>
      </c>
      <c r="V10" s="8">
        <f t="shared" si="1"/>
        <v>533578.19483250601</v>
      </c>
      <c r="W10" s="7">
        <v>185526.36</v>
      </c>
      <c r="X10" s="7">
        <v>160091.66</v>
      </c>
      <c r="Y10" s="7">
        <v>265253.37</v>
      </c>
      <c r="Z10" s="8">
        <f t="shared" si="2"/>
        <v>810704.54</v>
      </c>
      <c r="AA10" s="8">
        <f t="shared" si="2"/>
        <v>701153.76243948913</v>
      </c>
      <c r="AB10" s="8">
        <f t="shared" si="2"/>
        <v>798831.564832506</v>
      </c>
      <c r="AC10" s="10">
        <f t="shared" si="3"/>
        <v>-97677.802393016871</v>
      </c>
      <c r="AD10" s="74">
        <v>-5410.62</v>
      </c>
      <c r="AE10" s="7">
        <v>-2218.25</v>
      </c>
      <c r="AF10" s="7">
        <v>-3508.69</v>
      </c>
      <c r="AG10" s="7">
        <v>-21599.82</v>
      </c>
      <c r="AH10" s="7"/>
      <c r="AI10" s="10">
        <f t="shared" si="4"/>
        <v>-130415.18239301688</v>
      </c>
    </row>
    <row r="11" spans="1:39" ht="18.75" customHeight="1" x14ac:dyDescent="0.25">
      <c r="A11" s="18" t="s">
        <v>159</v>
      </c>
      <c r="B11" s="8">
        <f>439162.24+90008.44</f>
        <v>529170.67999999993</v>
      </c>
      <c r="C11" s="8">
        <f>361332.8+74056.79</f>
        <v>435389.58999999997</v>
      </c>
      <c r="D11" s="8">
        <f>432180.08623179+110653.52</f>
        <v>542833.60623179004</v>
      </c>
      <c r="E11" s="7">
        <v>711029.3</v>
      </c>
      <c r="F11" s="7">
        <v>668686.21</v>
      </c>
      <c r="G11" s="7">
        <v>672247.85</v>
      </c>
      <c r="H11" s="8">
        <v>787208.92</v>
      </c>
      <c r="I11" s="8">
        <v>705330.27709283051</v>
      </c>
      <c r="J11" s="8">
        <v>697199.61837916018</v>
      </c>
      <c r="K11" s="8">
        <v>819670.72999999986</v>
      </c>
      <c r="L11" s="8">
        <v>763695.4987118562</v>
      </c>
      <c r="M11" s="8">
        <v>800835.83634920698</v>
      </c>
      <c r="N11" s="8">
        <f t="shared" si="0"/>
        <v>2847079.63</v>
      </c>
      <c r="O11" s="8">
        <f t="shared" si="0"/>
        <v>2573101.5758046866</v>
      </c>
      <c r="P11" s="8">
        <f t="shared" si="0"/>
        <v>2713116.9109601574</v>
      </c>
      <c r="Q11" s="7">
        <v>646196.38</v>
      </c>
      <c r="R11" s="7">
        <v>603021.93999999994</v>
      </c>
      <c r="S11" s="7">
        <v>209338.44</v>
      </c>
      <c r="T11" s="8">
        <f t="shared" si="1"/>
        <v>3493276.01</v>
      </c>
      <c r="U11" s="8">
        <f t="shared" si="1"/>
        <v>3176123.5158046866</v>
      </c>
      <c r="V11" s="8">
        <f t="shared" si="1"/>
        <v>2922455.3509601573</v>
      </c>
      <c r="W11" s="7">
        <v>1036177.92</v>
      </c>
      <c r="X11" s="7">
        <v>997479.03</v>
      </c>
      <c r="Y11" s="7">
        <v>968638.36</v>
      </c>
      <c r="Z11" s="8">
        <f t="shared" si="2"/>
        <v>4529453.93</v>
      </c>
      <c r="AA11" s="8">
        <f t="shared" si="2"/>
        <v>4173602.5458046868</v>
      </c>
      <c r="AB11" s="8">
        <f t="shared" si="2"/>
        <v>3891093.7109601572</v>
      </c>
      <c r="AC11" s="10">
        <f t="shared" si="3"/>
        <v>282508.83484452963</v>
      </c>
      <c r="AD11" s="74">
        <v>-31761.24</v>
      </c>
      <c r="AE11" s="7">
        <v>-12631.52</v>
      </c>
      <c r="AF11" s="7">
        <f>-(8173.78+1219.01)</f>
        <v>-9392.7899999999991</v>
      </c>
      <c r="AG11" s="7">
        <v>-61661.07</v>
      </c>
      <c r="AH11" s="7"/>
      <c r="AI11" s="10">
        <f t="shared" si="4"/>
        <v>167062.21484452963</v>
      </c>
    </row>
    <row r="12" spans="1:39" ht="18.75" customHeight="1" x14ac:dyDescent="0.25">
      <c r="A12" s="18" t="s">
        <v>160</v>
      </c>
      <c r="B12" s="8">
        <f>50598.36+11728.74</f>
        <v>62327.1</v>
      </c>
      <c r="C12" s="8">
        <f>39032.03+9047.71</f>
        <v>48079.74</v>
      </c>
      <c r="D12" s="8">
        <f>50856.1587357181+12663.19</f>
        <v>63519.3487357181</v>
      </c>
      <c r="E12" s="7">
        <v>83768.12</v>
      </c>
      <c r="F12" s="7">
        <v>66204.61</v>
      </c>
      <c r="G12" s="7">
        <v>78889.33</v>
      </c>
      <c r="H12" s="8">
        <v>87817.81</v>
      </c>
      <c r="I12" s="8">
        <v>82789.08163593302</v>
      </c>
      <c r="J12" s="8">
        <v>72313.695543328839</v>
      </c>
      <c r="K12" s="8">
        <v>89130.41</v>
      </c>
      <c r="L12" s="8">
        <v>75618.490041887751</v>
      </c>
      <c r="M12" s="8">
        <v>91837.789441598492</v>
      </c>
      <c r="N12" s="8">
        <f t="shared" si="0"/>
        <v>323043.44</v>
      </c>
      <c r="O12" s="8">
        <f t="shared" si="0"/>
        <v>272691.92167782079</v>
      </c>
      <c r="P12" s="8">
        <f t="shared" si="0"/>
        <v>306560.16372064548</v>
      </c>
      <c r="Q12" s="7">
        <v>59998.369999999995</v>
      </c>
      <c r="R12" s="7">
        <v>52856.93</v>
      </c>
      <c r="S12" s="7">
        <v>5131.8500000000004</v>
      </c>
      <c r="T12" s="8">
        <f t="shared" si="1"/>
        <v>383041.81</v>
      </c>
      <c r="U12" s="8">
        <f t="shared" si="1"/>
        <v>325548.85167782078</v>
      </c>
      <c r="V12" s="8">
        <f t="shared" si="1"/>
        <v>311692.01372064545</v>
      </c>
      <c r="W12" s="7">
        <v>110534.45</v>
      </c>
      <c r="X12" s="7">
        <v>108433.95</v>
      </c>
      <c r="Y12" s="7">
        <v>165896.60999999999</v>
      </c>
      <c r="Z12" s="8">
        <f t="shared" si="2"/>
        <v>493576.26</v>
      </c>
      <c r="AA12" s="8">
        <f t="shared" si="2"/>
        <v>433982.8016778208</v>
      </c>
      <c r="AB12" s="8">
        <f t="shared" si="2"/>
        <v>477588.62372064544</v>
      </c>
      <c r="AC12" s="10">
        <f t="shared" si="3"/>
        <v>-43605.822042824642</v>
      </c>
      <c r="AD12" s="74">
        <v>-3255.49</v>
      </c>
      <c r="AE12" s="7">
        <v>-1447.15</v>
      </c>
      <c r="AF12" s="7">
        <v>-6354.21</v>
      </c>
      <c r="AG12" s="7">
        <v>-18031.080000000002</v>
      </c>
      <c r="AH12" s="7"/>
      <c r="AI12" s="10">
        <f t="shared" si="4"/>
        <v>-72693.752042824635</v>
      </c>
    </row>
    <row r="13" spans="1:39" ht="18" customHeight="1" x14ac:dyDescent="0.25">
      <c r="A13" s="18" t="s">
        <v>161</v>
      </c>
      <c r="B13" s="8">
        <f>60945.1+14227.1</f>
        <v>75172.2</v>
      </c>
      <c r="C13" s="8">
        <f>47951.53+11193.86</f>
        <v>59145.39</v>
      </c>
      <c r="D13" s="8">
        <f>61400.126845865+15350.22</f>
        <v>76750.346845865002</v>
      </c>
      <c r="E13" s="7">
        <v>96632.37</v>
      </c>
      <c r="F13" s="7">
        <v>101122.48</v>
      </c>
      <c r="G13" s="7">
        <v>101532.74</v>
      </c>
      <c r="H13" s="8">
        <v>98487.27</v>
      </c>
      <c r="I13" s="8">
        <v>102312.48800378243</v>
      </c>
      <c r="J13" s="8">
        <v>99736.609064753502</v>
      </c>
      <c r="K13" s="8">
        <v>100444.03000000001</v>
      </c>
      <c r="L13" s="8">
        <v>94599.023707888802</v>
      </c>
      <c r="M13" s="8">
        <v>104822.19004335877</v>
      </c>
      <c r="N13" s="8">
        <f t="shared" si="0"/>
        <v>370735.87000000005</v>
      </c>
      <c r="O13" s="8">
        <f t="shared" si="0"/>
        <v>357179.38171167125</v>
      </c>
      <c r="P13" s="8">
        <f t="shared" si="0"/>
        <v>382841.8859539773</v>
      </c>
      <c r="Q13" s="7">
        <v>72804.319999999992</v>
      </c>
      <c r="R13" s="7">
        <v>71789.399999999994</v>
      </c>
      <c r="S13" s="7">
        <v>7908.65</v>
      </c>
      <c r="T13" s="8">
        <f t="shared" si="1"/>
        <v>443540.19000000006</v>
      </c>
      <c r="U13" s="8">
        <f t="shared" si="1"/>
        <v>428968.78171167127</v>
      </c>
      <c r="V13" s="8">
        <f t="shared" si="1"/>
        <v>390750.53595397732</v>
      </c>
      <c r="W13" s="7">
        <v>125181.84</v>
      </c>
      <c r="X13" s="7">
        <v>121805.14</v>
      </c>
      <c r="Y13" s="7">
        <v>103985.02</v>
      </c>
      <c r="Z13" s="8">
        <f t="shared" si="2"/>
        <v>568722.03</v>
      </c>
      <c r="AA13" s="8">
        <f t="shared" si="2"/>
        <v>550773.92171167128</v>
      </c>
      <c r="AB13" s="8">
        <f t="shared" si="2"/>
        <v>494735.55595397734</v>
      </c>
      <c r="AC13" s="10">
        <f t="shared" si="3"/>
        <v>56038.365757693944</v>
      </c>
      <c r="AD13" s="74">
        <v>-4289.6899999999996</v>
      </c>
      <c r="AE13" s="7">
        <v>-1754.22</v>
      </c>
      <c r="AF13" s="7">
        <v>-649.65</v>
      </c>
      <c r="AG13" s="7"/>
      <c r="AH13" s="7"/>
      <c r="AI13" s="10">
        <f t="shared" si="4"/>
        <v>49344.805757693939</v>
      </c>
    </row>
    <row r="14" spans="1:39" ht="17.25" customHeight="1" x14ac:dyDescent="0.25">
      <c r="A14" s="18" t="s">
        <v>162</v>
      </c>
      <c r="B14" s="8">
        <f>61775.78+14421.44</f>
        <v>76197.22</v>
      </c>
      <c r="C14" s="8">
        <f>37819.86+8828.98</f>
        <v>46648.84</v>
      </c>
      <c r="D14" s="8">
        <f>61537.5761447888+15495.26</f>
        <v>77032.836144788802</v>
      </c>
      <c r="E14" s="7">
        <v>97934.86</v>
      </c>
      <c r="F14" s="7">
        <v>70778.600000000006</v>
      </c>
      <c r="G14" s="7">
        <v>94245.93</v>
      </c>
      <c r="H14" s="8">
        <v>103321.51000000001</v>
      </c>
      <c r="I14" s="8">
        <v>59190.306533808267</v>
      </c>
      <c r="J14" s="8">
        <v>93460.286299670304</v>
      </c>
      <c r="K14" s="8">
        <v>105541.45000000001</v>
      </c>
      <c r="L14" s="8">
        <v>79666.32159465531</v>
      </c>
      <c r="M14" s="8">
        <v>113356.11106394781</v>
      </c>
      <c r="N14" s="8">
        <f t="shared" si="0"/>
        <v>382995.04000000004</v>
      </c>
      <c r="O14" s="8">
        <f t="shared" si="0"/>
        <v>256284.06812846358</v>
      </c>
      <c r="P14" s="8">
        <f t="shared" si="0"/>
        <v>378095.16350840696</v>
      </c>
      <c r="Q14" s="7">
        <v>73714.81</v>
      </c>
      <c r="R14" s="7">
        <v>52223.48</v>
      </c>
      <c r="S14" s="7">
        <v>9631.64</v>
      </c>
      <c r="T14" s="8">
        <f t="shared" si="1"/>
        <v>456709.85000000003</v>
      </c>
      <c r="U14" s="8">
        <f t="shared" si="1"/>
        <v>308507.54812846356</v>
      </c>
      <c r="V14" s="8">
        <f t="shared" si="1"/>
        <v>387726.80350840697</v>
      </c>
      <c r="W14" s="7">
        <v>130744.56</v>
      </c>
      <c r="X14" s="7">
        <v>101132.83</v>
      </c>
      <c r="Y14" s="7">
        <v>119101.37</v>
      </c>
      <c r="Z14" s="8">
        <f t="shared" si="2"/>
        <v>587454.41</v>
      </c>
      <c r="AA14" s="8">
        <f t="shared" si="2"/>
        <v>409640.37812846358</v>
      </c>
      <c r="AB14" s="8">
        <f t="shared" si="2"/>
        <v>506828.17350840697</v>
      </c>
      <c r="AC14" s="10">
        <f t="shared" si="3"/>
        <v>-97187.795379943389</v>
      </c>
      <c r="AD14" s="74">
        <v>-3085.08</v>
      </c>
      <c r="AE14" s="7">
        <v>-1770.79</v>
      </c>
      <c r="AF14" s="7">
        <v>-4042.26</v>
      </c>
      <c r="AG14" s="7">
        <v>-3044.03</v>
      </c>
      <c r="AH14" s="7"/>
      <c r="AI14" s="10">
        <f t="shared" si="4"/>
        <v>-109129.95537994338</v>
      </c>
    </row>
    <row r="15" spans="1:39" ht="18" customHeight="1" x14ac:dyDescent="0.25">
      <c r="A15" s="18" t="s">
        <v>163</v>
      </c>
      <c r="B15" s="8">
        <f>30573.73+7161.33</f>
        <v>37735.06</v>
      </c>
      <c r="C15" s="8">
        <f>24418.32+5719.55</f>
        <v>30137.87</v>
      </c>
      <c r="D15" s="8">
        <f>38645.8569852495+7694.78</f>
        <v>46340.636985249497</v>
      </c>
      <c r="E15" s="7">
        <v>48488.1</v>
      </c>
      <c r="F15" s="7">
        <v>41692.559999999998</v>
      </c>
      <c r="G15" s="7">
        <v>48750.34</v>
      </c>
      <c r="H15" s="8">
        <v>49895.51</v>
      </c>
      <c r="I15" s="8">
        <v>48853.866135894947</v>
      </c>
      <c r="J15" s="8">
        <v>45469.502801518007</v>
      </c>
      <c r="K15" s="8">
        <v>50208.380000000005</v>
      </c>
      <c r="L15" s="8">
        <v>41323.869915052841</v>
      </c>
      <c r="M15" s="8">
        <v>68644.397532945673</v>
      </c>
      <c r="N15" s="8">
        <f t="shared" si="0"/>
        <v>186327.05000000002</v>
      </c>
      <c r="O15" s="8">
        <f t="shared" si="0"/>
        <v>162008.1660509478</v>
      </c>
      <c r="P15" s="8">
        <f t="shared" si="0"/>
        <v>209204.87731971318</v>
      </c>
      <c r="Q15" s="7">
        <v>37046.33</v>
      </c>
      <c r="R15" s="7">
        <v>33889.089999999997</v>
      </c>
      <c r="S15" s="7">
        <v>6060.51</v>
      </c>
      <c r="T15" s="8">
        <f t="shared" si="1"/>
        <v>223373.38</v>
      </c>
      <c r="U15" s="8">
        <f t="shared" si="1"/>
        <v>195897.25605094779</v>
      </c>
      <c r="V15" s="8">
        <f t="shared" si="1"/>
        <v>215265.38731971319</v>
      </c>
      <c r="W15" s="7">
        <v>62879.87</v>
      </c>
      <c r="X15" s="7">
        <v>65584.63</v>
      </c>
      <c r="Y15" s="7">
        <v>53776.72</v>
      </c>
      <c r="Z15" s="8">
        <f t="shared" si="2"/>
        <v>286253.25</v>
      </c>
      <c r="AA15" s="8">
        <f t="shared" si="2"/>
        <v>261481.8860509478</v>
      </c>
      <c r="AB15" s="8">
        <f t="shared" si="2"/>
        <v>269042.10731971322</v>
      </c>
      <c r="AC15" s="10">
        <f t="shared" si="3"/>
        <v>-7560.2212687654246</v>
      </c>
      <c r="AD15" s="74">
        <v>-1958.97</v>
      </c>
      <c r="AE15" s="7">
        <v>-879.36</v>
      </c>
      <c r="AF15" s="7">
        <v>-371.02</v>
      </c>
      <c r="AG15" s="7"/>
      <c r="AH15" s="7"/>
      <c r="AI15" s="10">
        <f t="shared" si="4"/>
        <v>-10769.571268765425</v>
      </c>
    </row>
    <row r="16" spans="1:39" ht="18.75" customHeight="1" x14ac:dyDescent="0.25">
      <c r="A16" s="76" t="s">
        <v>164</v>
      </c>
      <c r="B16" s="8">
        <f>472883.08+103962.31</f>
        <v>576845.39</v>
      </c>
      <c r="C16" s="8">
        <f>394891.34+86815.86</f>
        <v>481707.2</v>
      </c>
      <c r="D16" s="8">
        <f>473834.399368135+119299.69</f>
        <v>593134.08936813497</v>
      </c>
      <c r="E16" s="7">
        <v>776685.46</v>
      </c>
      <c r="F16" s="7">
        <v>754947.42</v>
      </c>
      <c r="G16" s="7">
        <v>719372.4</v>
      </c>
      <c r="H16" s="8">
        <v>877305.93</v>
      </c>
      <c r="I16" s="8">
        <v>783879.31523997046</v>
      </c>
      <c r="J16" s="8">
        <v>776812.39402503881</v>
      </c>
      <c r="K16" s="8">
        <v>895387.56</v>
      </c>
      <c r="L16" s="8">
        <v>833837.97071631206</v>
      </c>
      <c r="M16" s="8">
        <v>891950.75887915201</v>
      </c>
      <c r="N16" s="8">
        <f t="shared" si="0"/>
        <v>3126224.3400000003</v>
      </c>
      <c r="O16" s="8">
        <f t="shared" si="0"/>
        <v>2854371.9059562827</v>
      </c>
      <c r="P16" s="8">
        <f t="shared" si="0"/>
        <v>2981269.6422723262</v>
      </c>
      <c r="Q16" s="7">
        <v>671563.87000000011</v>
      </c>
      <c r="R16" s="7">
        <v>630053.84</v>
      </c>
      <c r="S16" s="7">
        <v>443891.42000000004</v>
      </c>
      <c r="T16" s="8">
        <f t="shared" si="1"/>
        <v>3797788.2100000004</v>
      </c>
      <c r="U16" s="8">
        <f t="shared" si="1"/>
        <v>3484425.7459562826</v>
      </c>
      <c r="V16" s="8">
        <f t="shared" si="1"/>
        <v>3425161.0622723261</v>
      </c>
      <c r="W16" s="7">
        <v>1125287.33</v>
      </c>
      <c r="X16" s="7">
        <v>1033363.94</v>
      </c>
      <c r="Y16" s="7">
        <v>1134071.6299999999</v>
      </c>
      <c r="Z16" s="8">
        <f t="shared" si="2"/>
        <v>4923075.540000001</v>
      </c>
      <c r="AA16" s="8">
        <f t="shared" si="2"/>
        <v>4517789.6859562825</v>
      </c>
      <c r="AB16" s="8">
        <f t="shared" si="2"/>
        <v>4559232.692272326</v>
      </c>
      <c r="AC16" s="10">
        <f t="shared" si="3"/>
        <v>-41443.006316043437</v>
      </c>
      <c r="AD16" s="74">
        <v>-34844.26</v>
      </c>
      <c r="AE16" s="7">
        <v>-13616.26</v>
      </c>
      <c r="AF16" s="7">
        <v>-6770.38</v>
      </c>
      <c r="AG16" s="7">
        <v>-97917.56</v>
      </c>
      <c r="AH16" s="7"/>
      <c r="AI16" s="10">
        <f t="shared" si="4"/>
        <v>-194591.46631604346</v>
      </c>
    </row>
    <row r="17" spans="1:35" ht="18.75" customHeight="1" x14ac:dyDescent="0.25">
      <c r="A17" s="18" t="s">
        <v>165</v>
      </c>
      <c r="B17" s="8">
        <f>257843.97+56466.18</f>
        <v>314310.15000000002</v>
      </c>
      <c r="C17" s="8">
        <f>218817.67+47919.64</f>
        <v>266737.31</v>
      </c>
      <c r="D17" s="8">
        <f>257000.059533734+64557.47</f>
        <v>321557.52953373396</v>
      </c>
      <c r="E17" s="7">
        <v>423364.7</v>
      </c>
      <c r="F17" s="7">
        <v>412966.11</v>
      </c>
      <c r="G17" s="7">
        <v>387923.65</v>
      </c>
      <c r="H17" s="8">
        <v>474175.2</v>
      </c>
      <c r="I17" s="8">
        <v>431758.17342721228</v>
      </c>
      <c r="J17" s="8">
        <v>431124.24155792873</v>
      </c>
      <c r="K17" s="8">
        <v>484456.70000000007</v>
      </c>
      <c r="L17" s="8">
        <v>478416.60820998315</v>
      </c>
      <c r="M17" s="8">
        <v>477741.14582088002</v>
      </c>
      <c r="N17" s="8">
        <f t="shared" si="0"/>
        <v>1696306.75</v>
      </c>
      <c r="O17" s="8">
        <f t="shared" si="0"/>
        <v>1589878.2016371954</v>
      </c>
      <c r="P17" s="8">
        <f t="shared" si="0"/>
        <v>1618346.5669125428</v>
      </c>
      <c r="Q17" s="7">
        <v>368783.67</v>
      </c>
      <c r="R17" s="7">
        <v>355562.30000000005</v>
      </c>
      <c r="S17" s="7">
        <v>322195.21000000002</v>
      </c>
      <c r="T17" s="8">
        <f t="shared" si="1"/>
        <v>2065090.42</v>
      </c>
      <c r="U17" s="8">
        <f t="shared" si="1"/>
        <v>1945440.5016371955</v>
      </c>
      <c r="V17" s="8">
        <f t="shared" si="1"/>
        <v>1940541.7769125428</v>
      </c>
      <c r="W17" s="7">
        <v>613630.43000000005</v>
      </c>
      <c r="X17" s="7">
        <v>574675.93000000005</v>
      </c>
      <c r="Y17" s="7">
        <v>632392.22</v>
      </c>
      <c r="Z17" s="8">
        <f t="shared" si="2"/>
        <v>2678720.85</v>
      </c>
      <c r="AA17" s="8">
        <f t="shared" si="2"/>
        <v>2520116.4316371954</v>
      </c>
      <c r="AB17" s="8">
        <f t="shared" si="2"/>
        <v>2572933.9969125427</v>
      </c>
      <c r="AC17" s="10">
        <f t="shared" si="3"/>
        <v>-52817.565275347326</v>
      </c>
      <c r="AD17" s="74">
        <v>-19454.41</v>
      </c>
      <c r="AE17" s="7">
        <v>-7357.99</v>
      </c>
      <c r="AF17" s="7">
        <v>-8311.14</v>
      </c>
      <c r="AG17" s="7">
        <v>-38661.629999999997</v>
      </c>
      <c r="AH17" s="7"/>
      <c r="AI17" s="10">
        <f t="shared" si="4"/>
        <v>-126602.73527534734</v>
      </c>
    </row>
    <row r="18" spans="1:35" ht="18" customHeight="1" x14ac:dyDescent="0.25">
      <c r="A18" s="18" t="s">
        <v>166</v>
      </c>
      <c r="B18" s="8">
        <f>256999.99+56344.49</f>
        <v>313344.48</v>
      </c>
      <c r="C18" s="8">
        <f>210492.8+46148.38</f>
        <v>256641.18</v>
      </c>
      <c r="D18" s="8">
        <f>251664.500761861+64683.8</f>
        <v>316348.30076186103</v>
      </c>
      <c r="E18" s="7">
        <v>420161.76</v>
      </c>
      <c r="F18" s="7">
        <v>419234.19</v>
      </c>
      <c r="G18" s="7">
        <v>387876.85</v>
      </c>
      <c r="H18" s="8">
        <v>474590.29</v>
      </c>
      <c r="I18" s="8">
        <v>466671.25553362363</v>
      </c>
      <c r="J18" s="8">
        <v>418477.73398635263</v>
      </c>
      <c r="K18" s="8">
        <v>485490.86</v>
      </c>
      <c r="L18" s="8">
        <v>514349.37079616159</v>
      </c>
      <c r="M18" s="8">
        <v>463585.85119050049</v>
      </c>
      <c r="N18" s="8">
        <f t="shared" si="0"/>
        <v>1693587.3900000001</v>
      </c>
      <c r="O18" s="8">
        <f t="shared" si="0"/>
        <v>1656895.9963297853</v>
      </c>
      <c r="P18" s="8">
        <f t="shared" si="0"/>
        <v>1586288.7359387141</v>
      </c>
      <c r="Q18" s="7">
        <v>376895.72</v>
      </c>
      <c r="R18" s="7">
        <v>380562.1</v>
      </c>
      <c r="S18" s="7">
        <v>229539.84000000003</v>
      </c>
      <c r="T18" s="8">
        <f t="shared" si="1"/>
        <v>2070483.11</v>
      </c>
      <c r="U18" s="8">
        <f t="shared" si="1"/>
        <v>2037458.0963297854</v>
      </c>
      <c r="V18" s="8">
        <f t="shared" si="1"/>
        <v>1815828.5759387142</v>
      </c>
      <c r="W18" s="7">
        <v>610630.85</v>
      </c>
      <c r="X18" s="7">
        <v>581625.44999999995</v>
      </c>
      <c r="Y18" s="7">
        <v>666731.04</v>
      </c>
      <c r="Z18" s="8">
        <f t="shared" si="2"/>
        <v>2681113.96</v>
      </c>
      <c r="AA18" s="8">
        <f t="shared" si="2"/>
        <v>2619083.5463297851</v>
      </c>
      <c r="AB18" s="8">
        <f t="shared" si="2"/>
        <v>2482559.6159387142</v>
      </c>
      <c r="AC18" s="10">
        <f t="shared" si="3"/>
        <v>136523.9303910709</v>
      </c>
      <c r="AD18" s="74">
        <v>-20374.580000000002</v>
      </c>
      <c r="AE18" s="7">
        <v>-7344.45</v>
      </c>
      <c r="AF18" s="7">
        <f>-(1081.31+626)</f>
        <v>-1707.31</v>
      </c>
      <c r="AG18" s="7">
        <v>-10406.85</v>
      </c>
      <c r="AH18" s="7">
        <v>-86208.6</v>
      </c>
      <c r="AI18" s="10">
        <f t="shared" si="4"/>
        <v>96690.740391070896</v>
      </c>
    </row>
    <row r="19" spans="1:35" ht="18.75" x14ac:dyDescent="0.3">
      <c r="A19" s="19" t="s">
        <v>167</v>
      </c>
      <c r="B19" s="8">
        <f>49581.51+10414.91</f>
        <v>59996.42</v>
      </c>
      <c r="C19" s="8">
        <f>33360.63+7007.58</f>
        <v>40368.21</v>
      </c>
      <c r="D19" s="8">
        <f>49943.308627466+12605.85</f>
        <v>62549.158627466</v>
      </c>
      <c r="E19" s="7">
        <v>77202.39</v>
      </c>
      <c r="F19" s="7">
        <v>58890.2</v>
      </c>
      <c r="G19" s="7">
        <v>76013.14</v>
      </c>
      <c r="H19" s="8">
        <v>83597.33</v>
      </c>
      <c r="I19" s="8">
        <v>63250.244772096368</v>
      </c>
      <c r="J19" s="8">
        <v>85229.938381151747</v>
      </c>
      <c r="K19" s="8">
        <v>87927.229999999981</v>
      </c>
      <c r="L19" s="8">
        <v>79759.463408747542</v>
      </c>
      <c r="M19" s="8">
        <v>86018.090404926843</v>
      </c>
      <c r="N19" s="8">
        <f t="shared" si="0"/>
        <v>308723.37</v>
      </c>
      <c r="O19" s="8">
        <f t="shared" si="0"/>
        <v>242268.11818084391</v>
      </c>
      <c r="P19" s="8">
        <f t="shared" si="0"/>
        <v>309810.32741354458</v>
      </c>
      <c r="Q19" s="7">
        <v>62212.75</v>
      </c>
      <c r="R19" s="7">
        <v>51838.82</v>
      </c>
      <c r="S19" s="7">
        <v>19991.990000000002</v>
      </c>
      <c r="T19" s="8">
        <f t="shared" si="1"/>
        <v>370936.12</v>
      </c>
      <c r="U19" s="8">
        <f t="shared" si="1"/>
        <v>294106.93818084389</v>
      </c>
      <c r="V19" s="8">
        <f t="shared" si="1"/>
        <v>329802.31741354457</v>
      </c>
      <c r="W19" s="7">
        <v>109276.06</v>
      </c>
      <c r="X19" s="7">
        <v>97077.87</v>
      </c>
      <c r="Y19" s="7">
        <v>181452.11</v>
      </c>
      <c r="Z19" s="8">
        <f t="shared" si="2"/>
        <v>480212.18</v>
      </c>
      <c r="AA19" s="8">
        <f t="shared" si="2"/>
        <v>391184.80818084389</v>
      </c>
      <c r="AB19" s="8">
        <f t="shared" si="2"/>
        <v>511254.42741354456</v>
      </c>
      <c r="AC19" s="10">
        <f t="shared" si="3"/>
        <v>-120069.61923270067</v>
      </c>
      <c r="AD19" s="74">
        <v>-2941.07</v>
      </c>
      <c r="AE19" s="7">
        <v>-1414.89</v>
      </c>
      <c r="AF19" s="7">
        <v>-4849.6899999999996</v>
      </c>
      <c r="AG19" s="7">
        <v>-16915.509999999998</v>
      </c>
      <c r="AH19" s="7"/>
      <c r="AI19" s="10">
        <f t="shared" si="4"/>
        <v>-146190.77923270068</v>
      </c>
    </row>
    <row r="20" spans="1:35" ht="18.75" x14ac:dyDescent="0.3">
      <c r="A20" s="19" t="s">
        <v>129</v>
      </c>
      <c r="B20" s="8">
        <f>51466.36+10765.26</f>
        <v>62231.62</v>
      </c>
      <c r="C20" s="8">
        <f>45049.28+9494.06</f>
        <v>54543.34</v>
      </c>
      <c r="D20" s="8">
        <f>52886.4647042936+13024.72</f>
        <v>65911.184704293599</v>
      </c>
      <c r="E20" s="7">
        <v>79995.210000000006</v>
      </c>
      <c r="F20" s="7">
        <v>81271.429999999993</v>
      </c>
      <c r="G20" s="7">
        <v>78160.460000000006</v>
      </c>
      <c r="H20" s="8">
        <v>88194.22</v>
      </c>
      <c r="I20" s="8">
        <v>87440.177327233701</v>
      </c>
      <c r="J20" s="8">
        <v>86731.689988915838</v>
      </c>
      <c r="K20" s="8">
        <v>90524.770000000019</v>
      </c>
      <c r="L20" s="8">
        <v>90089.647065540863</v>
      </c>
      <c r="M20" s="8">
        <v>90898.000821470807</v>
      </c>
      <c r="N20" s="8">
        <f t="shared" si="0"/>
        <v>320945.82000000007</v>
      </c>
      <c r="O20" s="8">
        <f t="shared" si="0"/>
        <v>313344.59439277451</v>
      </c>
      <c r="P20" s="8">
        <f t="shared" si="0"/>
        <v>321701.33551468025</v>
      </c>
      <c r="Q20" s="7">
        <v>65337.009999999995</v>
      </c>
      <c r="R20" s="7">
        <v>65120.5</v>
      </c>
      <c r="S20" s="7">
        <v>32340.9</v>
      </c>
      <c r="T20" s="8">
        <f t="shared" si="1"/>
        <v>386282.83000000007</v>
      </c>
      <c r="U20" s="8">
        <f t="shared" si="1"/>
        <v>378465.09439277451</v>
      </c>
      <c r="V20" s="8">
        <f t="shared" si="1"/>
        <v>354042.23551468027</v>
      </c>
      <c r="W20" s="7">
        <v>112970.31</v>
      </c>
      <c r="X20" s="7">
        <v>108566.51</v>
      </c>
      <c r="Y20" s="7">
        <v>160518.64000000001</v>
      </c>
      <c r="Z20" s="8">
        <f t="shared" si="2"/>
        <v>499253.14000000007</v>
      </c>
      <c r="AA20" s="8">
        <f t="shared" si="2"/>
        <v>487031.60439277452</v>
      </c>
      <c r="AB20" s="8">
        <f t="shared" si="2"/>
        <v>514560.87551468029</v>
      </c>
      <c r="AC20" s="10">
        <f t="shared" si="3"/>
        <v>-27529.271121905767</v>
      </c>
      <c r="AD20" s="74">
        <v>-3784.65</v>
      </c>
      <c r="AE20" s="7">
        <v>-1485.52</v>
      </c>
      <c r="AF20" s="7">
        <v>-200</v>
      </c>
      <c r="AG20" s="7"/>
      <c r="AH20" s="7"/>
      <c r="AI20" s="10">
        <f t="shared" si="4"/>
        <v>-32999.441121905766</v>
      </c>
    </row>
    <row r="21" spans="1:35" ht="18.75" x14ac:dyDescent="0.3">
      <c r="A21" s="19" t="s">
        <v>168</v>
      </c>
      <c r="B21" s="8">
        <f>51792.73+10833.9</f>
        <v>62626.630000000005</v>
      </c>
      <c r="C21" s="8">
        <f>46010.62+9624.4</f>
        <v>55635.020000000004</v>
      </c>
      <c r="D21" s="8">
        <f>51606.9620149293+13025.31</f>
        <v>64632.272014929295</v>
      </c>
      <c r="E21" s="7">
        <v>80490.899999999994</v>
      </c>
      <c r="F21" s="7">
        <v>81538.22</v>
      </c>
      <c r="G21" s="7">
        <v>78194.880000000005</v>
      </c>
      <c r="H21" s="8">
        <v>89439.33</v>
      </c>
      <c r="I21" s="8">
        <v>84087.747245498278</v>
      </c>
      <c r="J21" s="8">
        <v>87276.908919252426</v>
      </c>
      <c r="K21" s="8">
        <v>91226.03</v>
      </c>
      <c r="L21" s="8">
        <v>93326.624048705096</v>
      </c>
      <c r="M21" s="8">
        <v>93308.635221665158</v>
      </c>
      <c r="N21" s="8">
        <f t="shared" si="0"/>
        <v>323782.89</v>
      </c>
      <c r="O21" s="8">
        <f t="shared" si="0"/>
        <v>314587.61129420338</v>
      </c>
      <c r="P21" s="8">
        <f t="shared" si="0"/>
        <v>323412.69615584688</v>
      </c>
      <c r="Q21" s="7">
        <v>65615.039999999994</v>
      </c>
      <c r="R21" s="7">
        <v>65486.35</v>
      </c>
      <c r="S21" s="7">
        <v>100924.54</v>
      </c>
      <c r="T21" s="8">
        <f t="shared" si="1"/>
        <v>389397.93</v>
      </c>
      <c r="U21" s="8">
        <f t="shared" si="1"/>
        <v>380073.96129420336</v>
      </c>
      <c r="V21" s="8">
        <f t="shared" si="1"/>
        <v>424337.23615584685</v>
      </c>
      <c r="W21" s="7">
        <v>113674.7</v>
      </c>
      <c r="X21" s="7">
        <v>110619.74</v>
      </c>
      <c r="Y21" s="7">
        <v>144127.67999999999</v>
      </c>
      <c r="Z21" s="8">
        <f t="shared" si="2"/>
        <v>503072.63</v>
      </c>
      <c r="AA21" s="8">
        <f t="shared" si="2"/>
        <v>490693.70129420335</v>
      </c>
      <c r="AB21" s="8">
        <f t="shared" si="2"/>
        <v>568464.91615584679</v>
      </c>
      <c r="AC21" s="10">
        <f t="shared" si="3"/>
        <v>-77771.214861643442</v>
      </c>
      <c r="AD21" s="74">
        <v>-3800.74</v>
      </c>
      <c r="AE21" s="7">
        <v>-1484.31</v>
      </c>
      <c r="AF21" s="7"/>
      <c r="AG21" s="7"/>
      <c r="AH21" s="7"/>
      <c r="AI21" s="10">
        <f t="shared" si="4"/>
        <v>-83056.264861643445</v>
      </c>
    </row>
    <row r="22" spans="1:35" ht="18.75" x14ac:dyDescent="0.3">
      <c r="A22" s="19" t="s">
        <v>169</v>
      </c>
      <c r="B22" s="8">
        <f>70319.92+14646.83</f>
        <v>84966.75</v>
      </c>
      <c r="C22" s="8">
        <f>58396.93+12163.37</f>
        <v>70560.3</v>
      </c>
      <c r="D22" s="8">
        <f>69434.5845462252+17598.91</f>
        <v>87033.494546225207</v>
      </c>
      <c r="E22" s="7">
        <v>109132.6</v>
      </c>
      <c r="F22" s="7">
        <v>100154.07</v>
      </c>
      <c r="G22" s="7">
        <v>105501.96</v>
      </c>
      <c r="H22" s="8">
        <v>111317.29000000001</v>
      </c>
      <c r="I22" s="8">
        <v>96874.738878609831</v>
      </c>
      <c r="J22" s="8">
        <v>112996.39916269232</v>
      </c>
      <c r="K22" s="8">
        <v>113716.74999999997</v>
      </c>
      <c r="L22" s="8">
        <v>97367.933794742392</v>
      </c>
      <c r="M22" s="8">
        <v>126294.67542527104</v>
      </c>
      <c r="N22" s="8">
        <f t="shared" si="0"/>
        <v>419133.39</v>
      </c>
      <c r="O22" s="8">
        <f t="shared" si="0"/>
        <v>364957.04267335223</v>
      </c>
      <c r="P22" s="8">
        <f t="shared" si="0"/>
        <v>431826.52913418855</v>
      </c>
      <c r="Q22" s="7">
        <v>89777.040000000008</v>
      </c>
      <c r="R22" s="7">
        <v>80186.25</v>
      </c>
      <c r="S22" s="7">
        <v>16550.77</v>
      </c>
      <c r="T22" s="8">
        <f t="shared" si="1"/>
        <v>508910.43000000005</v>
      </c>
      <c r="U22" s="8">
        <f t="shared" si="1"/>
        <v>445143.29267335223</v>
      </c>
      <c r="V22" s="8">
        <f t="shared" si="1"/>
        <v>448377.29913418856</v>
      </c>
      <c r="W22" s="7">
        <v>144057.75</v>
      </c>
      <c r="X22" s="7">
        <v>143407.67000000001</v>
      </c>
      <c r="Y22" s="7">
        <v>127193.16</v>
      </c>
      <c r="Z22" s="8">
        <f t="shared" si="2"/>
        <v>652968.18000000005</v>
      </c>
      <c r="AA22" s="8">
        <f t="shared" si="2"/>
        <v>588550.96267335222</v>
      </c>
      <c r="AB22" s="8">
        <f t="shared" si="2"/>
        <v>575570.4591341886</v>
      </c>
      <c r="AC22" s="10">
        <f t="shared" si="3"/>
        <v>12980.503539163619</v>
      </c>
      <c r="AD22" s="74">
        <v>-4451.43</v>
      </c>
      <c r="AE22" s="7">
        <v>-2011.2</v>
      </c>
      <c r="AF22" s="7"/>
      <c r="AG22" s="7">
        <v>-11237.94</v>
      </c>
      <c r="AH22" s="7"/>
      <c r="AI22" s="10">
        <f t="shared" si="4"/>
        <v>-4720.0664608363813</v>
      </c>
    </row>
    <row r="23" spans="1:35" ht="18.75" x14ac:dyDescent="0.3">
      <c r="A23" s="27" t="s">
        <v>170</v>
      </c>
      <c r="B23" s="8">
        <v>5987.52</v>
      </c>
      <c r="C23" s="8">
        <f>5443.44</f>
        <v>5443.44</v>
      </c>
      <c r="D23" s="8">
        <f>4659.79947911055</f>
        <v>4659.7994791105502</v>
      </c>
      <c r="E23" s="7">
        <v>8436.9599999999991</v>
      </c>
      <c r="F23" s="7">
        <v>8039.22</v>
      </c>
      <c r="G23" s="7">
        <v>8879.3700000000008</v>
      </c>
      <c r="H23" s="8">
        <v>8657.2800000000007</v>
      </c>
      <c r="I23" s="8">
        <v>7636.61</v>
      </c>
      <c r="J23" s="8">
        <v>12286.73633407011</v>
      </c>
      <c r="K23" s="8">
        <v>8797.68</v>
      </c>
      <c r="L23" s="8">
        <v>9776.23</v>
      </c>
      <c r="M23" s="8">
        <v>13105.479020952507</v>
      </c>
      <c r="N23" s="8">
        <f t="shared" si="0"/>
        <v>31879.440000000002</v>
      </c>
      <c r="O23" s="8">
        <f t="shared" si="0"/>
        <v>30895.5</v>
      </c>
      <c r="P23" s="8">
        <f t="shared" si="0"/>
        <v>38931.384834133169</v>
      </c>
      <c r="Q23" s="7"/>
      <c r="R23" s="7"/>
      <c r="S23" s="7"/>
      <c r="T23" s="8">
        <f t="shared" si="1"/>
        <v>31879.440000000002</v>
      </c>
      <c r="U23" s="8">
        <f t="shared" si="1"/>
        <v>30895.5</v>
      </c>
      <c r="V23" s="8">
        <f t="shared" si="1"/>
        <v>38931.384834133169</v>
      </c>
      <c r="W23" s="7">
        <v>9037.44</v>
      </c>
      <c r="X23" s="7">
        <v>9385.67</v>
      </c>
      <c r="Y23" s="7">
        <v>12399.8</v>
      </c>
      <c r="Z23" s="8">
        <f t="shared" si="2"/>
        <v>40916.880000000005</v>
      </c>
      <c r="AA23" s="8">
        <f t="shared" si="2"/>
        <v>40281.17</v>
      </c>
      <c r="AB23" s="8">
        <f t="shared" si="2"/>
        <v>51331.184834133164</v>
      </c>
      <c r="AC23" s="10">
        <f t="shared" si="3"/>
        <v>-11050.014834133166</v>
      </c>
      <c r="AD23" s="74">
        <v>-308.95</v>
      </c>
      <c r="AE23" s="7">
        <v>-303.42</v>
      </c>
      <c r="AF23" s="7"/>
      <c r="AG23" s="7"/>
      <c r="AH23" s="7"/>
      <c r="AI23" s="10">
        <f t="shared" si="4"/>
        <v>-11662.384834133167</v>
      </c>
    </row>
    <row r="24" spans="1:35" ht="18.75" x14ac:dyDescent="0.3">
      <c r="A24" s="27" t="s">
        <v>171</v>
      </c>
      <c r="B24" s="8">
        <v>781.36</v>
      </c>
      <c r="C24" s="8">
        <v>509.2</v>
      </c>
      <c r="D24" s="8">
        <v>1575.4564119381562</v>
      </c>
      <c r="E24" s="7">
        <v>4218.4799999999996</v>
      </c>
      <c r="F24" s="7">
        <v>4200.12</v>
      </c>
      <c r="G24" s="7">
        <v>4439.6899999999996</v>
      </c>
      <c r="H24" s="8">
        <v>4328.6400000000003</v>
      </c>
      <c r="I24" s="8">
        <v>4328.6400000000003</v>
      </c>
      <c r="J24" s="8">
        <v>6143.4531670350561</v>
      </c>
      <c r="K24" s="8">
        <v>3680.64</v>
      </c>
      <c r="L24" s="8">
        <v>3788.64</v>
      </c>
      <c r="M24" s="8">
        <v>6673.2095104762539</v>
      </c>
      <c r="N24" s="8">
        <f t="shared" si="0"/>
        <v>13009.119999999999</v>
      </c>
      <c r="O24" s="8">
        <f t="shared" si="0"/>
        <v>12826.599999999999</v>
      </c>
      <c r="P24" s="8">
        <f t="shared" si="0"/>
        <v>18831.809089449467</v>
      </c>
      <c r="Q24" s="7"/>
      <c r="R24" s="7"/>
      <c r="S24" s="7"/>
      <c r="T24" s="8">
        <f t="shared" si="1"/>
        <v>13009.119999999999</v>
      </c>
      <c r="U24" s="8">
        <f t="shared" si="1"/>
        <v>12826.599999999999</v>
      </c>
      <c r="V24" s="8">
        <f t="shared" si="1"/>
        <v>18831.809089449467</v>
      </c>
      <c r="W24" s="7">
        <v>3081.24</v>
      </c>
      <c r="X24" s="7">
        <v>3071.52</v>
      </c>
      <c r="Y24" s="7">
        <v>6156.96</v>
      </c>
      <c r="Z24" s="8">
        <f t="shared" si="2"/>
        <v>16090.359999999999</v>
      </c>
      <c r="AA24" s="8">
        <f t="shared" si="2"/>
        <v>15898.119999999999</v>
      </c>
      <c r="AB24" s="8">
        <f t="shared" si="2"/>
        <v>24988.769089449466</v>
      </c>
      <c r="AC24" s="10">
        <f t="shared" si="3"/>
        <v>-9090.6490894494673</v>
      </c>
      <c r="AD24" s="74">
        <v>-128.26</v>
      </c>
      <c r="AE24" s="7">
        <v>-151.71</v>
      </c>
      <c r="AF24" s="7"/>
      <c r="AG24" s="7"/>
      <c r="AH24" s="7"/>
      <c r="AI24" s="10">
        <f t="shared" si="4"/>
        <v>-9370.6190894494666</v>
      </c>
    </row>
    <row r="25" spans="1:35" ht="18.75" x14ac:dyDescent="0.3">
      <c r="A25" s="27" t="s">
        <v>172</v>
      </c>
      <c r="E25" s="7">
        <v>9883.0400000000009</v>
      </c>
      <c r="F25" s="7">
        <v>9391.6299999999992</v>
      </c>
      <c r="G25" s="7">
        <v>8879.3700000000008</v>
      </c>
      <c r="H25" s="8">
        <v>8216.64</v>
      </c>
      <c r="I25" s="8">
        <v>8216.64</v>
      </c>
      <c r="J25" s="8">
        <v>12286.73633407011</v>
      </c>
      <c r="K25" s="8">
        <v>6920.64</v>
      </c>
      <c r="L25" s="8">
        <v>7136.64</v>
      </c>
      <c r="M25" s="8">
        <v>13159.609020952508</v>
      </c>
      <c r="N25" s="8">
        <f t="shared" si="0"/>
        <v>25020.32</v>
      </c>
      <c r="O25" s="8">
        <f t="shared" si="0"/>
        <v>24744.909999999996</v>
      </c>
      <c r="P25" s="8">
        <f t="shared" si="0"/>
        <v>34325.715355022621</v>
      </c>
      <c r="Q25" s="7"/>
      <c r="R25" s="7"/>
      <c r="S25" s="7"/>
      <c r="T25" s="8">
        <f t="shared" si="1"/>
        <v>25020.32</v>
      </c>
      <c r="U25" s="8">
        <f t="shared" si="1"/>
        <v>24744.909999999996</v>
      </c>
      <c r="V25" s="8">
        <f t="shared" si="1"/>
        <v>34325.715355022621</v>
      </c>
      <c r="W25" s="7">
        <v>5716.44</v>
      </c>
      <c r="X25" s="7">
        <v>5698.08</v>
      </c>
      <c r="Y25" s="7">
        <v>12301.17</v>
      </c>
      <c r="Z25" s="8">
        <f t="shared" si="2"/>
        <v>30736.76</v>
      </c>
      <c r="AA25" s="8">
        <f t="shared" si="2"/>
        <v>30442.989999999998</v>
      </c>
      <c r="AB25" s="8">
        <f t="shared" si="2"/>
        <v>46626.885355022619</v>
      </c>
      <c r="AC25" s="10">
        <f t="shared" si="3"/>
        <v>-16183.895355022622</v>
      </c>
      <c r="AD25" s="74">
        <v>-247.45</v>
      </c>
      <c r="AE25" s="7">
        <v>-233.55</v>
      </c>
      <c r="AF25" s="7"/>
      <c r="AG25" s="7"/>
      <c r="AH25" s="7"/>
      <c r="AI25" s="10">
        <f t="shared" si="4"/>
        <v>-16664.895355022622</v>
      </c>
    </row>
    <row r="26" spans="1:35" ht="18.75" x14ac:dyDescent="0.3">
      <c r="A26" s="27" t="s">
        <v>173</v>
      </c>
      <c r="B26" s="8">
        <f>61190.58+27686.56</f>
        <v>88877.14</v>
      </c>
      <c r="C26" s="8">
        <f>55926.25+25304.64</f>
        <v>81230.89</v>
      </c>
      <c r="D26" s="8">
        <f>65591.2251056113+15920.07</f>
        <v>81511.295105611294</v>
      </c>
      <c r="E26" s="7">
        <v>117004.73</v>
      </c>
      <c r="F26" s="7">
        <v>117671.82</v>
      </c>
      <c r="G26" s="7">
        <v>93533.78</v>
      </c>
      <c r="H26" s="8">
        <v>124084.42</v>
      </c>
      <c r="I26" s="8">
        <v>120277.34819005079</v>
      </c>
      <c r="J26" s="8">
        <v>96271.63137101366</v>
      </c>
      <c r="K26" s="8">
        <v>125184.89000000001</v>
      </c>
      <c r="L26" s="8">
        <v>122086.18998194205</v>
      </c>
      <c r="M26" s="8">
        <v>122190.15022361977</v>
      </c>
      <c r="N26" s="8">
        <f t="shared" si="0"/>
        <v>455151.18</v>
      </c>
      <c r="O26" s="8">
        <f t="shared" si="0"/>
        <v>441266.24817199289</v>
      </c>
      <c r="P26" s="8">
        <f t="shared" si="0"/>
        <v>393506.85670024471</v>
      </c>
      <c r="Q26" s="7">
        <v>28400.980000000003</v>
      </c>
      <c r="R26" s="7">
        <v>28030.79</v>
      </c>
      <c r="S26" s="7">
        <v>79780.12</v>
      </c>
      <c r="T26" s="8">
        <f t="shared" si="1"/>
        <v>483552.16</v>
      </c>
      <c r="U26" s="8">
        <f t="shared" si="1"/>
        <v>469297.03817199287</v>
      </c>
      <c r="V26" s="8">
        <f t="shared" si="1"/>
        <v>473286.9767002447</v>
      </c>
      <c r="W26" s="7">
        <v>140724.56</v>
      </c>
      <c r="X26" s="7">
        <v>143817.20000000001</v>
      </c>
      <c r="Y26" s="7">
        <v>108598.32</v>
      </c>
      <c r="Z26" s="8">
        <f t="shared" si="2"/>
        <v>624276.72</v>
      </c>
      <c r="AA26" s="8">
        <f t="shared" si="2"/>
        <v>613114.23817199282</v>
      </c>
      <c r="AB26" s="8">
        <f t="shared" si="2"/>
        <v>581885.29670024477</v>
      </c>
      <c r="AC26" s="10">
        <f t="shared" si="3"/>
        <v>31228.941471748054</v>
      </c>
      <c r="AD26" s="74">
        <v>-4692.97</v>
      </c>
      <c r="AE26" s="7">
        <v>-1790.18</v>
      </c>
      <c r="AF26" s="7"/>
      <c r="AG26" s="7"/>
      <c r="AH26" s="7"/>
      <c r="AI26" s="10">
        <f t="shared" si="4"/>
        <v>24745.791471748053</v>
      </c>
    </row>
    <row r="27" spans="1:35" ht="18.75" x14ac:dyDescent="0.3">
      <c r="A27" s="27" t="s">
        <v>174</v>
      </c>
      <c r="B27" s="8">
        <v>113305.93</v>
      </c>
      <c r="C27" s="8">
        <v>78330.39</v>
      </c>
      <c r="D27" s="8">
        <v>115854.71230254747</v>
      </c>
      <c r="E27" s="7">
        <v>156316.69</v>
      </c>
      <c r="F27" s="7">
        <v>121179.44</v>
      </c>
      <c r="G27" s="7">
        <v>146717.71</v>
      </c>
      <c r="H27" s="8">
        <v>161941.37000000002</v>
      </c>
      <c r="I27" s="8">
        <v>127714.87006141477</v>
      </c>
      <c r="J27" s="8">
        <v>168741.55719971599</v>
      </c>
      <c r="K27" s="8">
        <v>161395.04</v>
      </c>
      <c r="L27" s="8">
        <v>202590.55934174298</v>
      </c>
      <c r="M27" s="8">
        <v>208761.66630390612</v>
      </c>
      <c r="N27" s="8">
        <f t="shared" si="0"/>
        <v>592959.03</v>
      </c>
      <c r="O27" s="8">
        <f t="shared" si="0"/>
        <v>529815.25940315775</v>
      </c>
      <c r="P27" s="8">
        <f t="shared" si="0"/>
        <v>640075.6458061696</v>
      </c>
      <c r="Q27" s="7">
        <v>108904.76999999999</v>
      </c>
      <c r="R27" s="7">
        <v>109810.82999999999</v>
      </c>
      <c r="S27" s="7">
        <v>22362.09</v>
      </c>
      <c r="T27" s="8">
        <f t="shared" si="1"/>
        <v>701863.8</v>
      </c>
      <c r="U27" s="8">
        <f t="shared" si="1"/>
        <v>639626.0894031577</v>
      </c>
      <c r="V27" s="8">
        <f t="shared" si="1"/>
        <v>662437.73580616957</v>
      </c>
      <c r="W27" s="7">
        <v>128055.25</v>
      </c>
      <c r="X27" s="7">
        <v>115164.34</v>
      </c>
      <c r="Y27" s="7">
        <v>218161.51</v>
      </c>
      <c r="Z27" s="8">
        <f t="shared" si="2"/>
        <v>829919.05</v>
      </c>
      <c r="AA27" s="8">
        <f t="shared" si="2"/>
        <v>754790.42940315767</v>
      </c>
      <c r="AB27" s="8">
        <f t="shared" si="2"/>
        <v>880599.24580616958</v>
      </c>
      <c r="AC27" s="10">
        <f t="shared" si="3"/>
        <v>-125808.81640301191</v>
      </c>
      <c r="AD27" s="74">
        <v>-6396.26</v>
      </c>
      <c r="AE27" s="7">
        <v>-3314.86</v>
      </c>
      <c r="AF27" s="7">
        <v>-3243.49</v>
      </c>
      <c r="AG27" s="7">
        <v>-20097.34</v>
      </c>
      <c r="AH27" s="7"/>
      <c r="AI27" s="10">
        <f t="shared" si="4"/>
        <v>-158860.76640301189</v>
      </c>
    </row>
    <row r="28" spans="1:35" ht="18.75" x14ac:dyDescent="0.3">
      <c r="A28" s="77" t="s">
        <v>175</v>
      </c>
      <c r="B28" s="8">
        <f>110673.27+67431.02</f>
        <v>178104.29</v>
      </c>
      <c r="C28" s="8">
        <f>90748.37+55952.87</f>
        <v>146701.24</v>
      </c>
      <c r="D28" s="8">
        <f>138800.540558375+39288.56</f>
        <v>178089.10055837501</v>
      </c>
      <c r="E28" s="7">
        <v>257683.26</v>
      </c>
      <c r="F28" s="7">
        <v>241641.23</v>
      </c>
      <c r="G28" s="7">
        <v>257848.68</v>
      </c>
      <c r="H28" s="8">
        <v>268955.75</v>
      </c>
      <c r="I28" s="8">
        <v>257240.07347455778</v>
      </c>
      <c r="J28" s="8">
        <v>282839.40294725721</v>
      </c>
      <c r="K28" s="8">
        <v>270363.23999999993</v>
      </c>
      <c r="L28" s="8">
        <v>267401.52581562189</v>
      </c>
      <c r="M28" s="8">
        <v>288672.98174708476</v>
      </c>
      <c r="N28" s="8">
        <f t="shared" si="0"/>
        <v>975106.54</v>
      </c>
      <c r="O28" s="8">
        <f t="shared" si="0"/>
        <v>912984.06929017976</v>
      </c>
      <c r="P28" s="8">
        <f t="shared" si="0"/>
        <v>1007450.165252717</v>
      </c>
      <c r="Q28" s="7">
        <v>143556.32999999999</v>
      </c>
      <c r="R28" s="7">
        <v>140046.70000000001</v>
      </c>
      <c r="S28" s="7">
        <v>28879.7</v>
      </c>
      <c r="T28" s="8">
        <f t="shared" si="1"/>
        <v>1118662.8700000001</v>
      </c>
      <c r="U28" s="8">
        <f t="shared" si="1"/>
        <v>1053030.7692901797</v>
      </c>
      <c r="V28" s="8">
        <f t="shared" si="1"/>
        <v>1036329.8652527169</v>
      </c>
      <c r="W28" s="7">
        <v>318778.88</v>
      </c>
      <c r="X28" s="7">
        <v>321292.15999999997</v>
      </c>
      <c r="Y28" s="7">
        <v>263038.84999999998</v>
      </c>
      <c r="Z28" s="8">
        <f t="shared" si="2"/>
        <v>1437441.75</v>
      </c>
      <c r="AA28" s="8">
        <f t="shared" si="2"/>
        <v>1374322.9292901796</v>
      </c>
      <c r="AB28" s="8">
        <f t="shared" si="2"/>
        <v>1299368.715252717</v>
      </c>
      <c r="AC28" s="10">
        <f t="shared" si="3"/>
        <v>74954.214037462603</v>
      </c>
      <c r="AD28" s="74">
        <v>-10530.31</v>
      </c>
      <c r="AE28" s="7">
        <v>-4463.08</v>
      </c>
      <c r="AF28" s="7">
        <v>-1453</v>
      </c>
      <c r="AG28" s="7">
        <v>-44227.62</v>
      </c>
      <c r="AH28" s="7"/>
      <c r="AI28" s="10">
        <f t="shared" si="4"/>
        <v>14280.204037462601</v>
      </c>
    </row>
    <row r="29" spans="1:35" ht="18.75" x14ac:dyDescent="0.3">
      <c r="A29" s="77" t="s">
        <v>176</v>
      </c>
      <c r="B29" s="8">
        <v>80952.3</v>
      </c>
      <c r="C29" s="8">
        <v>61044.15</v>
      </c>
      <c r="D29" s="8">
        <v>65915.358773060158</v>
      </c>
      <c r="E29" s="7">
        <v>112435.54</v>
      </c>
      <c r="F29" s="7">
        <v>121102.49</v>
      </c>
      <c r="G29" s="7">
        <v>77988.13</v>
      </c>
      <c r="H29" s="8">
        <v>112941.88</v>
      </c>
      <c r="I29" s="8">
        <v>115744.00697129294</v>
      </c>
      <c r="J29" s="8">
        <v>81984.991929615673</v>
      </c>
      <c r="K29" s="8">
        <v>112937.73</v>
      </c>
      <c r="L29" s="8">
        <v>114220.88222244123</v>
      </c>
      <c r="M29" s="8">
        <v>94377.57820807134</v>
      </c>
      <c r="N29" s="8">
        <f t="shared" si="0"/>
        <v>419267.44999999995</v>
      </c>
      <c r="O29" s="8">
        <f t="shared" si="0"/>
        <v>412111.52919373417</v>
      </c>
      <c r="P29" s="8">
        <f t="shared" si="0"/>
        <v>320266.05891074718</v>
      </c>
      <c r="Q29" s="7">
        <v>55745.4</v>
      </c>
      <c r="R29" s="7">
        <v>56048.06</v>
      </c>
      <c r="S29" s="7">
        <v>4730.04</v>
      </c>
      <c r="T29" s="8">
        <f t="shared" si="1"/>
        <v>475012.85</v>
      </c>
      <c r="U29" s="8">
        <f t="shared" si="1"/>
        <v>468159.58919373417</v>
      </c>
      <c r="V29" s="8">
        <f t="shared" si="1"/>
        <v>324996.09891074715</v>
      </c>
      <c r="W29" s="7">
        <v>134056.20000000001</v>
      </c>
      <c r="X29" s="7">
        <v>133576.24</v>
      </c>
      <c r="Y29" s="7">
        <v>71997.740000000005</v>
      </c>
      <c r="Z29" s="8">
        <f t="shared" si="2"/>
        <v>609069.05000000005</v>
      </c>
      <c r="AA29" s="8">
        <f t="shared" si="2"/>
        <v>601735.8291937341</v>
      </c>
      <c r="AB29" s="8">
        <f t="shared" si="2"/>
        <v>396993.83891074714</v>
      </c>
      <c r="AC29" s="10">
        <f t="shared" si="3"/>
        <v>204741.99028298695</v>
      </c>
      <c r="AD29" s="74">
        <v>-4681.6000000000004</v>
      </c>
      <c r="AE29" s="7">
        <v>-1646.62</v>
      </c>
      <c r="AF29" s="7"/>
      <c r="AG29" s="7"/>
      <c r="AH29" s="7"/>
      <c r="AI29" s="10">
        <f t="shared" si="4"/>
        <v>198413.77028298695</v>
      </c>
    </row>
    <row r="30" spans="1:35" ht="18.75" x14ac:dyDescent="0.3">
      <c r="A30" s="77" t="s">
        <v>177</v>
      </c>
      <c r="B30" s="8">
        <f>50845.65+15918.64</f>
        <v>66764.290000000008</v>
      </c>
      <c r="C30" s="8">
        <f>13481.06+4220.65</f>
        <v>17701.71</v>
      </c>
      <c r="D30" s="8">
        <f>96444.7403338421+34120.35</f>
        <v>130565.09033384209</v>
      </c>
      <c r="E30" s="7">
        <v>333991.28000000003</v>
      </c>
      <c r="F30" s="7">
        <v>210881.58</v>
      </c>
      <c r="G30" s="7">
        <v>217319.06</v>
      </c>
      <c r="H30" s="8">
        <v>336941.38999999996</v>
      </c>
      <c r="I30" s="8">
        <v>262035.14030135871</v>
      </c>
      <c r="J30" s="8">
        <v>223722.79329599653</v>
      </c>
      <c r="K30" s="42">
        <v>328872.43</v>
      </c>
      <c r="L30" s="42">
        <v>419830.41734357364</v>
      </c>
      <c r="M30" s="42">
        <v>235391.08821522936</v>
      </c>
      <c r="N30" s="8">
        <f t="shared" si="0"/>
        <v>1066569.3899999999</v>
      </c>
      <c r="O30" s="8">
        <f t="shared" si="0"/>
        <v>910448.84764493234</v>
      </c>
      <c r="P30" s="8">
        <f t="shared" si="0"/>
        <v>806998.03184506798</v>
      </c>
      <c r="Q30" s="7">
        <v>138248.25</v>
      </c>
      <c r="R30" s="7">
        <v>136899.73000000001</v>
      </c>
      <c r="S30" s="7">
        <v>24489.89</v>
      </c>
      <c r="T30" s="8">
        <f t="shared" si="1"/>
        <v>1204817.6399999999</v>
      </c>
      <c r="U30" s="8">
        <f t="shared" si="1"/>
        <v>1047348.5776449323</v>
      </c>
      <c r="V30" s="8">
        <f t="shared" si="1"/>
        <v>831487.92184506799</v>
      </c>
      <c r="W30" s="7">
        <v>387058.64</v>
      </c>
      <c r="X30" s="7">
        <v>314505.89</v>
      </c>
      <c r="Y30" s="7">
        <v>228700.83</v>
      </c>
      <c r="Z30" s="8">
        <f t="shared" si="2"/>
        <v>1591876.2799999998</v>
      </c>
      <c r="AA30" s="8">
        <f t="shared" si="2"/>
        <v>1361854.4676449322</v>
      </c>
      <c r="AB30" s="8">
        <f t="shared" si="2"/>
        <v>1060188.7518450681</v>
      </c>
      <c r="AC30" s="10">
        <f t="shared" si="3"/>
        <v>301665.71579986415</v>
      </c>
      <c r="AD30" s="74">
        <v>-10473.49</v>
      </c>
      <c r="AE30" s="7">
        <v>-3854.92</v>
      </c>
      <c r="AF30" s="7">
        <v>-2079.12</v>
      </c>
      <c r="AG30" s="7">
        <v>-18422.439999999999</v>
      </c>
      <c r="AH30" s="7"/>
      <c r="AI30" s="10">
        <f t="shared" si="4"/>
        <v>266835.74579986418</v>
      </c>
    </row>
    <row r="31" spans="1:35" ht="19.5" x14ac:dyDescent="0.35">
      <c r="A31" s="78" t="s">
        <v>178</v>
      </c>
      <c r="B31" s="79">
        <f>SUM(B7:B30)</f>
        <v>3167382.44</v>
      </c>
      <c r="C31" s="79">
        <f>SUM(C7:C30)</f>
        <v>2548630.9600000004</v>
      </c>
      <c r="D31" s="79">
        <f>SUM(D7:D30)</f>
        <v>3289042.002650707</v>
      </c>
      <c r="E31" s="80">
        <f t="shared" ref="E31:M31" si="5">SUM(E7:E30)</f>
        <v>4514444.9000000004</v>
      </c>
      <c r="F31" s="80">
        <f t="shared" si="5"/>
        <v>4201798.9200000009</v>
      </c>
      <c r="G31" s="80">
        <f t="shared" si="5"/>
        <v>4132141.8200000003</v>
      </c>
      <c r="H31" s="66">
        <f t="shared" si="5"/>
        <v>4922098.49</v>
      </c>
      <c r="I31" s="66">
        <f t="shared" si="5"/>
        <v>4459194.4779466838</v>
      </c>
      <c r="J31" s="66">
        <f t="shared" si="5"/>
        <v>4419282.87</v>
      </c>
      <c r="K31" s="66">
        <f t="shared" si="5"/>
        <v>5023157.7300000004</v>
      </c>
      <c r="L31" s="66">
        <f t="shared" si="5"/>
        <v>4966294.6747034183</v>
      </c>
      <c r="M31" s="66">
        <f t="shared" si="5"/>
        <v>4968633.16</v>
      </c>
      <c r="N31" s="8">
        <f t="shared" si="0"/>
        <v>17627083.560000002</v>
      </c>
      <c r="O31" s="8">
        <f t="shared" si="0"/>
        <v>16175919.032650102</v>
      </c>
      <c r="P31" s="8">
        <f t="shared" si="0"/>
        <v>16809099.852650709</v>
      </c>
      <c r="Q31" s="75">
        <f t="shared" ref="Q31:AC31" si="6">SUM(Q7:Q30)</f>
        <v>3461198.0800000005</v>
      </c>
      <c r="R31" s="75">
        <f t="shared" si="6"/>
        <v>3296262.2400000007</v>
      </c>
      <c r="S31" s="75">
        <f t="shared" si="6"/>
        <v>1878507.3699999999</v>
      </c>
      <c r="T31" s="8">
        <f t="shared" si="6"/>
        <v>21088281.640000004</v>
      </c>
      <c r="U31" s="8">
        <f t="shared" si="6"/>
        <v>19472181.272650108</v>
      </c>
      <c r="V31" s="8">
        <f t="shared" si="6"/>
        <v>18687607.222650707</v>
      </c>
      <c r="W31" s="7">
        <f t="shared" si="6"/>
        <v>6149350.7300000004</v>
      </c>
      <c r="X31" s="7">
        <f t="shared" si="6"/>
        <v>5796677.3099999996</v>
      </c>
      <c r="Y31" s="7">
        <f t="shared" si="6"/>
        <v>6191667.4100000001</v>
      </c>
      <c r="Z31" s="8">
        <f t="shared" si="6"/>
        <v>27237632.370000001</v>
      </c>
      <c r="AA31" s="8">
        <f t="shared" si="6"/>
        <v>25268858.582650103</v>
      </c>
      <c r="AB31" s="8">
        <f t="shared" si="6"/>
        <v>24879274.632650707</v>
      </c>
      <c r="AC31" s="10">
        <f t="shared" si="6"/>
        <v>389583.94999939512</v>
      </c>
      <c r="AD31" s="74">
        <f>SUM(AD7:AD30)</f>
        <v>-194721.83000000005</v>
      </c>
      <c r="AE31" s="7">
        <f>SUM(AE7:AE30)</f>
        <v>-77794.619999999981</v>
      </c>
      <c r="AF31" s="7">
        <f>SUM(AF7:AF30)</f>
        <v>-53335.420000000006</v>
      </c>
      <c r="AG31" s="7">
        <f>SUM(AG7:AG30)</f>
        <v>-362222.89</v>
      </c>
      <c r="AH31" s="7">
        <f>SUM(AH18:AH30)</f>
        <v>-86208.6</v>
      </c>
      <c r="AI31" s="10">
        <f t="shared" si="4"/>
        <v>-298490.81000060495</v>
      </c>
    </row>
  </sheetData>
  <mergeCells count="19">
    <mergeCell ref="B4:G4"/>
    <mergeCell ref="AI4:AI6"/>
    <mergeCell ref="A5:A6"/>
    <mergeCell ref="B5:D5"/>
    <mergeCell ref="E5:G5"/>
    <mergeCell ref="H5:J5"/>
    <mergeCell ref="K5:M5"/>
    <mergeCell ref="N5:P5"/>
    <mergeCell ref="Q5:S5"/>
    <mergeCell ref="AG5:AG6"/>
    <mergeCell ref="AH5:AH6"/>
    <mergeCell ref="T5:V5"/>
    <mergeCell ref="W5:Y5"/>
    <mergeCell ref="Z5:AB5"/>
    <mergeCell ref="AD5:AD6"/>
    <mergeCell ref="AE5:AE6"/>
    <mergeCell ref="AF5:AF6"/>
    <mergeCell ref="AC4:AC6"/>
    <mergeCell ref="AD4:A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22"/>
  <sheetViews>
    <sheetView topLeftCell="P1" workbookViewId="0">
      <selection activeCell="AA19" sqref="AA19"/>
    </sheetView>
  </sheetViews>
  <sheetFormatPr defaultRowHeight="15.75" x14ac:dyDescent="0.25"/>
  <cols>
    <col min="1" max="1" width="23.25" style="6" customWidth="1"/>
    <col min="2" max="2" width="12.5" style="6" customWidth="1"/>
    <col min="3" max="3" width="12.125" style="6" customWidth="1"/>
    <col min="4" max="4" width="12.625" style="6" customWidth="1"/>
    <col min="5" max="5" width="12.375" style="6" customWidth="1"/>
    <col min="6" max="6" width="12.875" style="6" customWidth="1"/>
    <col min="7" max="7" width="12" style="6" customWidth="1"/>
    <col min="8" max="8" width="12.5" style="6" customWidth="1"/>
    <col min="9" max="9" width="12.375" style="6" customWidth="1"/>
    <col min="10" max="10" width="12.625" style="6" customWidth="1"/>
    <col min="11" max="11" width="13.25" style="6" customWidth="1"/>
    <col min="12" max="12" width="12.75" style="6" customWidth="1"/>
    <col min="13" max="13" width="12.5" style="6" customWidth="1"/>
    <col min="14" max="14" width="13.875" style="6" customWidth="1"/>
    <col min="15" max="15" width="13.125" style="6" customWidth="1"/>
    <col min="16" max="16" width="13" style="6" customWidth="1"/>
    <col min="17" max="17" width="12.375" style="6" customWidth="1"/>
    <col min="18" max="18" width="10.5" style="6" customWidth="1"/>
    <col min="19" max="19" width="11.625" style="6" customWidth="1"/>
    <col min="20" max="20" width="12.5" style="6" customWidth="1"/>
    <col min="21" max="21" width="12.375" style="6" customWidth="1"/>
    <col min="22" max="22" width="13.125" style="6" customWidth="1"/>
    <col min="23" max="23" width="13.375" style="6" customWidth="1"/>
    <col min="24" max="24" width="11.625" style="6" customWidth="1"/>
    <col min="25" max="25" width="9" style="6"/>
    <col min="26" max="26" width="9" style="6" customWidth="1"/>
    <col min="27" max="27" width="12.125" style="6" customWidth="1"/>
    <col min="28" max="16384" width="9" style="6"/>
  </cols>
  <sheetData>
    <row r="3" spans="1:28" ht="19.5" x14ac:dyDescent="0.35">
      <c r="T3" s="14" t="s">
        <v>56</v>
      </c>
      <c r="U3" s="14"/>
      <c r="V3" s="81"/>
    </row>
    <row r="4" spans="1:28" ht="50.25" customHeight="1" x14ac:dyDescent="0.3">
      <c r="A4" s="16" t="s">
        <v>305</v>
      </c>
      <c r="B4" s="157" t="s">
        <v>49</v>
      </c>
      <c r="C4" s="158"/>
      <c r="D4" s="158"/>
      <c r="E4" s="158"/>
      <c r="F4" s="158"/>
      <c r="G4" s="158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132" t="s">
        <v>306</v>
      </c>
      <c r="U4" s="132"/>
      <c r="V4" s="132"/>
      <c r="W4" s="143" t="s">
        <v>303</v>
      </c>
      <c r="X4" s="149" t="s">
        <v>50</v>
      </c>
      <c r="Y4" s="149"/>
      <c r="Z4" s="149"/>
      <c r="AA4" s="143" t="s">
        <v>266</v>
      </c>
      <c r="AB4" s="36"/>
    </row>
    <row r="5" spans="1:28" ht="18.75" x14ac:dyDescent="0.25">
      <c r="A5" s="160" t="s">
        <v>44</v>
      </c>
      <c r="B5" s="132" t="s">
        <v>268</v>
      </c>
      <c r="C5" s="132"/>
      <c r="D5" s="132"/>
      <c r="E5" s="132" t="s">
        <v>269</v>
      </c>
      <c r="F5" s="132"/>
      <c r="G5" s="132"/>
      <c r="H5" s="132" t="s">
        <v>270</v>
      </c>
      <c r="I5" s="132"/>
      <c r="J5" s="132"/>
      <c r="K5" s="146" t="s">
        <v>271</v>
      </c>
      <c r="L5" s="147"/>
      <c r="M5" s="148"/>
      <c r="N5" s="146" t="s">
        <v>299</v>
      </c>
      <c r="O5" s="147"/>
      <c r="P5" s="148"/>
      <c r="Q5" s="146" t="s">
        <v>297</v>
      </c>
      <c r="R5" s="147"/>
      <c r="S5" s="147"/>
      <c r="T5" s="132"/>
      <c r="U5" s="132"/>
      <c r="V5" s="132"/>
      <c r="W5" s="143"/>
      <c r="X5" s="136" t="s">
        <v>263</v>
      </c>
      <c r="Y5" s="136" t="s">
        <v>51</v>
      </c>
      <c r="Z5" s="136" t="s">
        <v>6</v>
      </c>
      <c r="AA5" s="143"/>
      <c r="AB5" s="36"/>
    </row>
    <row r="6" spans="1:28" ht="61.5" customHeight="1" x14ac:dyDescent="0.25">
      <c r="A6" s="160"/>
      <c r="B6" s="17" t="s">
        <v>8</v>
      </c>
      <c r="C6" s="17" t="s">
        <v>9</v>
      </c>
      <c r="D6" s="38" t="s">
        <v>10</v>
      </c>
      <c r="E6" s="17" t="s">
        <v>8</v>
      </c>
      <c r="F6" s="17" t="s">
        <v>9</v>
      </c>
      <c r="G6" s="17" t="s">
        <v>10</v>
      </c>
      <c r="H6" s="17" t="s">
        <v>8</v>
      </c>
      <c r="I6" s="17" t="s">
        <v>9</v>
      </c>
      <c r="J6" s="17" t="s">
        <v>10</v>
      </c>
      <c r="K6" s="17" t="s">
        <v>8</v>
      </c>
      <c r="L6" s="17" t="s">
        <v>9</v>
      </c>
      <c r="M6" s="17" t="s">
        <v>10</v>
      </c>
      <c r="N6" s="17" t="s">
        <v>8</v>
      </c>
      <c r="O6" s="17" t="s">
        <v>9</v>
      </c>
      <c r="P6" s="17" t="s">
        <v>10</v>
      </c>
      <c r="Q6" s="17" t="s">
        <v>8</v>
      </c>
      <c r="R6" s="17" t="s">
        <v>9</v>
      </c>
      <c r="S6" s="52" t="s">
        <v>10</v>
      </c>
      <c r="T6" s="17" t="s">
        <v>8</v>
      </c>
      <c r="U6" s="17" t="s">
        <v>9</v>
      </c>
      <c r="V6" s="17" t="s">
        <v>10</v>
      </c>
      <c r="W6" s="143"/>
      <c r="X6" s="136"/>
      <c r="Y6" s="136"/>
      <c r="Z6" s="136"/>
      <c r="AA6" s="143"/>
      <c r="AB6" s="36"/>
    </row>
    <row r="7" spans="1:28" ht="17.25" customHeight="1" x14ac:dyDescent="0.25">
      <c r="A7" s="18" t="s">
        <v>52</v>
      </c>
      <c r="B7" s="8">
        <f>4334.86+7759.43</f>
        <v>12094.29</v>
      </c>
      <c r="C7" s="8">
        <f>5907.31+3548.24</f>
        <v>9455.5499999999993</v>
      </c>
      <c r="D7" s="8">
        <f>11422+2548.62</f>
        <v>13970.619999999999</v>
      </c>
      <c r="E7" s="7">
        <f>38428.74+18118.8</f>
        <v>56547.539999999994</v>
      </c>
      <c r="F7" s="7">
        <f>30732.86+14301.27</f>
        <v>45034.130000000005</v>
      </c>
      <c r="G7" s="7">
        <f>41551.63+15632</f>
        <v>57183.63</v>
      </c>
      <c r="H7" s="8">
        <f>18118.8+45083.28</f>
        <v>63202.080000000002</v>
      </c>
      <c r="I7" s="8">
        <f>14652.5+35520.92</f>
        <v>50173.42</v>
      </c>
      <c r="J7" s="8">
        <v>36657.32</v>
      </c>
      <c r="K7" s="8">
        <v>60253.74</v>
      </c>
      <c r="L7" s="8">
        <v>61736.55</v>
      </c>
      <c r="M7" s="8">
        <v>19071.34</v>
      </c>
      <c r="N7" s="8">
        <f>B7+E7+H7+K7</f>
        <v>192097.64999999997</v>
      </c>
      <c r="O7" s="8">
        <f>C7+F7+I7+L7</f>
        <v>166399.65000000002</v>
      </c>
      <c r="P7" s="8">
        <f>D7+G7+J7+M7</f>
        <v>126882.91</v>
      </c>
      <c r="Q7" s="7">
        <v>43892.480000000003</v>
      </c>
      <c r="R7" s="7">
        <v>52314.05</v>
      </c>
      <c r="S7" s="7">
        <v>17681.990000000002</v>
      </c>
      <c r="T7" s="8">
        <f>N7+Q7</f>
        <v>235990.12999999998</v>
      </c>
      <c r="U7" s="8">
        <f>O7+R7</f>
        <v>218713.7</v>
      </c>
      <c r="V7" s="8">
        <f>P7+S7</f>
        <v>144564.9</v>
      </c>
      <c r="W7" s="10">
        <f>U7-V7</f>
        <v>74148.800000000017</v>
      </c>
      <c r="X7" s="25">
        <v>-1663.93</v>
      </c>
      <c r="Y7" s="7">
        <v>-1418.74</v>
      </c>
      <c r="Z7" s="7">
        <v>-404</v>
      </c>
      <c r="AA7" s="10">
        <f>W7+X7+Y7+Z7</f>
        <v>70662.130000000019</v>
      </c>
    </row>
    <row r="8" spans="1:28" ht="23.25" customHeight="1" x14ac:dyDescent="0.25">
      <c r="A8" s="18" t="s">
        <v>53</v>
      </c>
      <c r="B8" s="8">
        <f>4318.53+7730.17</f>
        <v>12048.7</v>
      </c>
      <c r="C8" s="8">
        <f>4926.47+2849.46</f>
        <v>7775.93</v>
      </c>
      <c r="D8" s="8">
        <f>11391.32+4260.89</f>
        <v>15652.21</v>
      </c>
      <c r="E8" s="7">
        <f>38273.71+18050.4</f>
        <v>56324.11</v>
      </c>
      <c r="F8" s="7">
        <f>31117.74+14569.56</f>
        <v>45687.3</v>
      </c>
      <c r="G8" s="7">
        <f>41126.88+18081.52</f>
        <v>59208.399999999994</v>
      </c>
      <c r="H8" s="8">
        <f>18050.4+44908.5</f>
        <v>62958.9</v>
      </c>
      <c r="I8" s="8">
        <f>14926.14+9268.58</f>
        <v>24194.720000000001</v>
      </c>
      <c r="J8" s="8">
        <f>9264.88+37075.88</f>
        <v>46340.759999999995</v>
      </c>
      <c r="K8" s="8">
        <v>60021.18</v>
      </c>
      <c r="L8" s="8">
        <v>56788.28</v>
      </c>
      <c r="M8" s="8">
        <v>18855.75</v>
      </c>
      <c r="N8" s="8">
        <f t="shared" ref="N8:P11" si="0">B8+E8+H8+K8</f>
        <v>191352.88999999998</v>
      </c>
      <c r="O8" s="8">
        <f t="shared" si="0"/>
        <v>134446.23000000001</v>
      </c>
      <c r="P8" s="8">
        <f t="shared" si="0"/>
        <v>140057.12</v>
      </c>
      <c r="Q8" s="7">
        <v>43721.66</v>
      </c>
      <c r="R8" s="7">
        <v>40936.65</v>
      </c>
      <c r="S8" s="7">
        <v>34130.639999999999</v>
      </c>
      <c r="T8" s="8">
        <f t="shared" ref="T8:V11" si="1">N8+Q8</f>
        <v>235074.55</v>
      </c>
      <c r="U8" s="8">
        <f t="shared" si="1"/>
        <v>175382.88</v>
      </c>
      <c r="V8" s="8">
        <f t="shared" si="1"/>
        <v>174187.76</v>
      </c>
      <c r="W8" s="10">
        <f t="shared" ref="W8:W12" si="2">U8-V8</f>
        <v>1195.1199999999953</v>
      </c>
      <c r="X8" s="25">
        <v>-1344.46</v>
      </c>
      <c r="Y8" s="7">
        <v>-1413.39</v>
      </c>
      <c r="Z8" s="7"/>
      <c r="AA8" s="10">
        <f t="shared" ref="AA8:AA11" si="3">W8+X8+Y8+Z8</f>
        <v>-1562.7300000000048</v>
      </c>
    </row>
    <row r="9" spans="1:28" ht="18.75" x14ac:dyDescent="0.25">
      <c r="A9" s="18"/>
      <c r="B9" s="8"/>
      <c r="C9" s="8"/>
      <c r="D9" s="8"/>
      <c r="E9" s="7"/>
      <c r="F9" s="7"/>
      <c r="G9" s="7"/>
      <c r="H9" s="8"/>
      <c r="I9" s="8"/>
      <c r="J9" s="8"/>
      <c r="K9" s="8"/>
      <c r="L9" s="8"/>
      <c r="M9" s="8"/>
      <c r="N9" s="8">
        <f t="shared" si="0"/>
        <v>0</v>
      </c>
      <c r="O9" s="8">
        <f t="shared" si="0"/>
        <v>0</v>
      </c>
      <c r="P9" s="8">
        <f t="shared" si="0"/>
        <v>0</v>
      </c>
      <c r="Q9" s="7"/>
      <c r="R9" s="7"/>
      <c r="S9" s="7"/>
      <c r="T9" s="8">
        <f t="shared" si="1"/>
        <v>0</v>
      </c>
      <c r="U9" s="8">
        <f t="shared" si="1"/>
        <v>0</v>
      </c>
      <c r="V9" s="8">
        <f t="shared" si="1"/>
        <v>0</v>
      </c>
      <c r="W9" s="10">
        <f t="shared" si="2"/>
        <v>0</v>
      </c>
      <c r="X9" s="25">
        <f t="shared" ref="X9:X11" si="4">-U9*0.01</f>
        <v>0</v>
      </c>
      <c r="Y9" s="7"/>
      <c r="Z9" s="7"/>
      <c r="AA9" s="10">
        <f t="shared" si="3"/>
        <v>0</v>
      </c>
    </row>
    <row r="10" spans="1:28" ht="18.75" x14ac:dyDescent="0.25">
      <c r="A10" s="18" t="s">
        <v>54</v>
      </c>
      <c r="B10" s="8">
        <v>959.36</v>
      </c>
      <c r="C10" s="8">
        <v>0</v>
      </c>
      <c r="D10" s="8">
        <v>857.97</v>
      </c>
      <c r="E10" s="7">
        <v>1989.25</v>
      </c>
      <c r="F10" s="7">
        <v>0</v>
      </c>
      <c r="G10" s="7">
        <v>1349.09</v>
      </c>
      <c r="H10" s="8"/>
      <c r="I10" s="8"/>
      <c r="J10" s="8"/>
      <c r="K10" s="7"/>
      <c r="L10" s="7"/>
      <c r="M10" s="7"/>
      <c r="N10" s="8">
        <f t="shared" si="0"/>
        <v>2948.61</v>
      </c>
      <c r="O10" s="8">
        <f t="shared" si="0"/>
        <v>0</v>
      </c>
      <c r="P10" s="8">
        <f t="shared" si="0"/>
        <v>2207.06</v>
      </c>
      <c r="Q10" s="7"/>
      <c r="R10" s="7"/>
      <c r="S10" s="7"/>
      <c r="T10" s="8">
        <f t="shared" si="1"/>
        <v>2948.61</v>
      </c>
      <c r="U10" s="8">
        <f t="shared" si="1"/>
        <v>0</v>
      </c>
      <c r="V10" s="8">
        <f t="shared" si="1"/>
        <v>2207.06</v>
      </c>
      <c r="W10" s="10">
        <f t="shared" si="2"/>
        <v>-2207.06</v>
      </c>
      <c r="X10" s="25">
        <f t="shared" si="4"/>
        <v>0</v>
      </c>
      <c r="Y10" s="7">
        <v>-39.39</v>
      </c>
      <c r="Z10" s="7"/>
      <c r="AA10" s="10">
        <f t="shared" si="3"/>
        <v>-2246.4499999999998</v>
      </c>
    </row>
    <row r="11" spans="1:28" ht="18.75" x14ac:dyDescent="0.25">
      <c r="A11" s="18" t="s">
        <v>55</v>
      </c>
      <c r="B11" s="7">
        <v>698.88</v>
      </c>
      <c r="C11" s="7">
        <v>0</v>
      </c>
      <c r="D11" s="7">
        <v>625.03</v>
      </c>
      <c r="E11" s="7">
        <v>3344.28</v>
      </c>
      <c r="F11" s="7">
        <v>0</v>
      </c>
      <c r="G11" s="7">
        <v>982.82</v>
      </c>
      <c r="H11" s="7">
        <v>3344.28</v>
      </c>
      <c r="I11" s="7">
        <v>547.72</v>
      </c>
      <c r="J11" s="7">
        <v>1233.78</v>
      </c>
      <c r="K11" s="8">
        <v>2764.68</v>
      </c>
      <c r="L11" s="8">
        <v>0</v>
      </c>
      <c r="M11" s="8">
        <v>6049.81</v>
      </c>
      <c r="N11" s="8">
        <f t="shared" si="0"/>
        <v>10152.120000000001</v>
      </c>
      <c r="O11" s="8">
        <f t="shared" si="0"/>
        <v>547.72</v>
      </c>
      <c r="P11" s="8">
        <f t="shared" si="0"/>
        <v>8891.44</v>
      </c>
      <c r="Q11" s="7">
        <v>2221.33</v>
      </c>
      <c r="R11" s="7">
        <v>0</v>
      </c>
      <c r="S11" s="7">
        <v>740.16</v>
      </c>
      <c r="T11" s="8">
        <f t="shared" si="1"/>
        <v>12373.45</v>
      </c>
      <c r="U11" s="8">
        <f t="shared" si="1"/>
        <v>547.72</v>
      </c>
      <c r="V11" s="8">
        <f t="shared" si="1"/>
        <v>9631.6</v>
      </c>
      <c r="W11" s="10">
        <f t="shared" si="2"/>
        <v>-9083.880000000001</v>
      </c>
      <c r="X11" s="25">
        <f t="shared" si="4"/>
        <v>-5.4772000000000007</v>
      </c>
      <c r="Y11" s="7">
        <v>-96.79</v>
      </c>
      <c r="Z11" s="7"/>
      <c r="AA11" s="10">
        <f t="shared" si="3"/>
        <v>-9186.1472000000012</v>
      </c>
    </row>
    <row r="12" spans="1:28" ht="18.75" x14ac:dyDescent="0.25">
      <c r="A12" s="82" t="s">
        <v>43</v>
      </c>
      <c r="B12" s="8">
        <f t="shared" ref="B12:V12" si="5">SUM(B7:B11)</f>
        <v>25801.230000000003</v>
      </c>
      <c r="C12" s="8">
        <f t="shared" si="5"/>
        <v>17231.48</v>
      </c>
      <c r="D12" s="8">
        <f t="shared" si="5"/>
        <v>31105.829999999998</v>
      </c>
      <c r="E12" s="7">
        <f t="shared" si="5"/>
        <v>118205.18</v>
      </c>
      <c r="F12" s="7">
        <f t="shared" si="5"/>
        <v>90721.430000000008</v>
      </c>
      <c r="G12" s="7">
        <f t="shared" si="5"/>
        <v>118723.94</v>
      </c>
      <c r="H12" s="8">
        <f t="shared" si="5"/>
        <v>129505.26000000001</v>
      </c>
      <c r="I12" s="8">
        <f t="shared" si="5"/>
        <v>74915.86</v>
      </c>
      <c r="J12" s="8">
        <f t="shared" si="5"/>
        <v>84231.859999999986</v>
      </c>
      <c r="K12" s="8">
        <f t="shared" si="5"/>
        <v>123039.59999999999</v>
      </c>
      <c r="L12" s="8">
        <f t="shared" si="5"/>
        <v>118524.83</v>
      </c>
      <c r="M12" s="8">
        <f t="shared" si="5"/>
        <v>43976.899999999994</v>
      </c>
      <c r="N12" s="8">
        <f t="shared" si="5"/>
        <v>396551.2699999999</v>
      </c>
      <c r="O12" s="8">
        <f t="shared" si="5"/>
        <v>301393.59999999998</v>
      </c>
      <c r="P12" s="8">
        <f t="shared" si="5"/>
        <v>278038.53000000003</v>
      </c>
      <c r="Q12" s="7">
        <f t="shared" si="5"/>
        <v>89835.470000000016</v>
      </c>
      <c r="R12" s="7">
        <f t="shared" si="5"/>
        <v>93250.700000000012</v>
      </c>
      <c r="S12" s="7">
        <f t="shared" si="5"/>
        <v>52552.790000000008</v>
      </c>
      <c r="T12" s="8">
        <f t="shared" si="5"/>
        <v>486386.73999999993</v>
      </c>
      <c r="U12" s="8">
        <f t="shared" si="5"/>
        <v>394644.3</v>
      </c>
      <c r="V12" s="8">
        <f t="shared" si="5"/>
        <v>330591.32</v>
      </c>
      <c r="W12" s="10">
        <f t="shared" si="2"/>
        <v>64052.979999999981</v>
      </c>
      <c r="X12" s="25">
        <f t="shared" ref="X12:Z12" si="6">SUM(X7:X11)</f>
        <v>-3013.8672000000001</v>
      </c>
      <c r="Y12" s="7">
        <f t="shared" si="6"/>
        <v>-2968.31</v>
      </c>
      <c r="Z12" s="7">
        <f t="shared" si="6"/>
        <v>-404</v>
      </c>
      <c r="AA12" s="10">
        <f>SUM(AA7:AA11)</f>
        <v>57666.802800000012</v>
      </c>
    </row>
    <row r="15" spans="1:28" x14ac:dyDescent="0.25">
      <c r="C15" s="12"/>
    </row>
    <row r="16" spans="1:28" x14ac:dyDescent="0.25">
      <c r="C16" s="12"/>
    </row>
    <row r="17" spans="3:3" x14ac:dyDescent="0.25">
      <c r="C17" s="12"/>
    </row>
    <row r="18" spans="3:3" x14ac:dyDescent="0.25">
      <c r="C18" s="12"/>
    </row>
    <row r="19" spans="3:3" x14ac:dyDescent="0.25">
      <c r="C19" s="12"/>
    </row>
    <row r="20" spans="3:3" x14ac:dyDescent="0.25">
      <c r="C20" s="12"/>
    </row>
    <row r="21" spans="3:3" x14ac:dyDescent="0.25">
      <c r="C21" s="12"/>
    </row>
    <row r="22" spans="3:3" x14ac:dyDescent="0.25">
      <c r="C22" s="12"/>
    </row>
  </sheetData>
  <mergeCells count="15">
    <mergeCell ref="AA4:AA6"/>
    <mergeCell ref="A5:A6"/>
    <mergeCell ref="B5:D5"/>
    <mergeCell ref="E5:G5"/>
    <mergeCell ref="H5:J5"/>
    <mergeCell ref="K5:M5"/>
    <mergeCell ref="N5:P5"/>
    <mergeCell ref="Q5:S5"/>
    <mergeCell ref="X5:X6"/>
    <mergeCell ref="Y5:Y6"/>
    <mergeCell ref="T4:V5"/>
    <mergeCell ref="W4:W6"/>
    <mergeCell ref="X4:Z4"/>
    <mergeCell ref="Z5:Z6"/>
    <mergeCell ref="B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K15"/>
  <sheetViews>
    <sheetView topLeftCell="R1" workbookViewId="0">
      <selection activeCell="AM11" sqref="AM11"/>
    </sheetView>
  </sheetViews>
  <sheetFormatPr defaultRowHeight="15.75" x14ac:dyDescent="0.25"/>
  <cols>
    <col min="1" max="1" width="30.5" style="6" customWidth="1"/>
    <col min="2" max="2" width="11.75" style="6" customWidth="1"/>
    <col min="3" max="3" width="11.5" style="6" customWidth="1"/>
    <col min="4" max="4" width="12.75" style="6" customWidth="1"/>
    <col min="5" max="5" width="12.875" style="6" customWidth="1"/>
    <col min="6" max="6" width="10.75" style="6" customWidth="1"/>
    <col min="7" max="7" width="14.625" style="6" customWidth="1"/>
    <col min="8" max="8" width="11.25" style="6" customWidth="1"/>
    <col min="9" max="9" width="10.875" style="6" customWidth="1"/>
    <col min="10" max="10" width="11.25" style="6" customWidth="1"/>
    <col min="11" max="11" width="12.25" style="6" customWidth="1"/>
    <col min="12" max="12" width="10.875" style="6" customWidth="1"/>
    <col min="13" max="13" width="11.375" style="6" customWidth="1"/>
    <col min="14" max="14" width="13.25" style="6" customWidth="1"/>
    <col min="15" max="15" width="13.125" style="6" customWidth="1"/>
    <col min="16" max="16" width="12.375" style="6" customWidth="1"/>
    <col min="17" max="17" width="13.75" style="6" customWidth="1"/>
    <col min="18" max="18" width="12.375" style="6" customWidth="1"/>
    <col min="19" max="19" width="12.625" style="6" customWidth="1"/>
    <col min="20" max="20" width="14.125" style="6" customWidth="1"/>
    <col min="21" max="21" width="14.375" style="6" customWidth="1"/>
    <col min="22" max="22" width="14.25" style="6" customWidth="1"/>
    <col min="23" max="23" width="12.75" style="6" customWidth="1"/>
    <col min="24" max="24" width="13" style="6" customWidth="1"/>
    <col min="25" max="25" width="13.125" style="6" customWidth="1"/>
    <col min="26" max="26" width="12.5" style="6" customWidth="1"/>
    <col min="27" max="27" width="11.25" style="6" customWidth="1"/>
    <col min="28" max="28" width="13.125" style="6" customWidth="1"/>
    <col min="29" max="29" width="14.25" style="6" customWidth="1"/>
    <col min="30" max="30" width="12.125" style="6" customWidth="1"/>
    <col min="31" max="31" width="12.5" style="6" customWidth="1"/>
    <col min="32" max="32" width="13.875" style="6" customWidth="1"/>
    <col min="33" max="33" width="15.125" style="6" customWidth="1"/>
    <col min="34" max="34" width="15.25" style="6" customWidth="1"/>
    <col min="35" max="16384" width="9" style="6"/>
  </cols>
  <sheetData>
    <row r="3" spans="1:37" ht="20.25" x14ac:dyDescent="0.3">
      <c r="AC3" s="73" t="s">
        <v>188</v>
      </c>
    </row>
    <row r="4" spans="1:37" ht="41.25" customHeight="1" x14ac:dyDescent="0.3">
      <c r="A4" s="85" t="s">
        <v>188</v>
      </c>
      <c r="B4" s="122" t="s">
        <v>1</v>
      </c>
      <c r="C4" s="161"/>
      <c r="D4" s="161"/>
      <c r="E4" s="161"/>
      <c r="F4" s="161"/>
      <c r="G4" s="161"/>
      <c r="H4" s="91"/>
      <c r="I4" s="91"/>
      <c r="J4" s="91"/>
      <c r="K4" s="91"/>
      <c r="L4" s="91"/>
      <c r="M4" s="91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132" t="s">
        <v>310</v>
      </c>
      <c r="AA4" s="132"/>
      <c r="AB4" s="132"/>
      <c r="AC4" s="143" t="s">
        <v>311</v>
      </c>
      <c r="AD4" s="149" t="s">
        <v>50</v>
      </c>
      <c r="AE4" s="149"/>
      <c r="AF4" s="149"/>
      <c r="AG4" s="149"/>
      <c r="AH4" s="143" t="s">
        <v>312</v>
      </c>
      <c r="AI4" s="70"/>
      <c r="AJ4" s="13"/>
      <c r="AK4" s="13"/>
    </row>
    <row r="5" spans="1:37" ht="18.75" x14ac:dyDescent="0.3">
      <c r="A5" s="162" t="s">
        <v>44</v>
      </c>
      <c r="B5" s="136" t="s">
        <v>268</v>
      </c>
      <c r="C5" s="136"/>
      <c r="D5" s="136"/>
      <c r="E5" s="136" t="s">
        <v>269</v>
      </c>
      <c r="F5" s="136"/>
      <c r="G5" s="136"/>
      <c r="H5" s="136" t="s">
        <v>270</v>
      </c>
      <c r="I5" s="136"/>
      <c r="J5" s="136"/>
      <c r="K5" s="137" t="s">
        <v>271</v>
      </c>
      <c r="L5" s="155"/>
      <c r="M5" s="156"/>
      <c r="N5" s="146" t="s">
        <v>307</v>
      </c>
      <c r="O5" s="147"/>
      <c r="P5" s="148"/>
      <c r="Q5" s="146" t="s">
        <v>308</v>
      </c>
      <c r="R5" s="147"/>
      <c r="S5" s="148"/>
      <c r="T5" s="146" t="s">
        <v>309</v>
      </c>
      <c r="U5" s="147"/>
      <c r="V5" s="148"/>
      <c r="W5" s="146" t="s">
        <v>297</v>
      </c>
      <c r="X5" s="147"/>
      <c r="Y5" s="147"/>
      <c r="Z5" s="132"/>
      <c r="AA5" s="132"/>
      <c r="AB5" s="132"/>
      <c r="AC5" s="143"/>
      <c r="AD5" s="156" t="s">
        <v>301</v>
      </c>
      <c r="AE5" s="136" t="s">
        <v>51</v>
      </c>
      <c r="AF5" s="136" t="s">
        <v>6</v>
      </c>
      <c r="AG5" s="136" t="s">
        <v>3</v>
      </c>
      <c r="AH5" s="143"/>
      <c r="AI5" s="70"/>
      <c r="AJ5" s="13"/>
      <c r="AK5" s="13"/>
    </row>
    <row r="6" spans="1:37" ht="99" customHeight="1" x14ac:dyDescent="0.3">
      <c r="A6" s="162"/>
      <c r="B6" s="15" t="s">
        <v>8</v>
      </c>
      <c r="C6" s="15" t="s">
        <v>9</v>
      </c>
      <c r="D6" s="92" t="s">
        <v>10</v>
      </c>
      <c r="E6" s="15" t="s">
        <v>8</v>
      </c>
      <c r="F6" s="15" t="s">
        <v>9</v>
      </c>
      <c r="G6" s="15" t="s">
        <v>10</v>
      </c>
      <c r="H6" s="15" t="s">
        <v>8</v>
      </c>
      <c r="I6" s="15" t="s">
        <v>9</v>
      </c>
      <c r="J6" s="15" t="s">
        <v>10</v>
      </c>
      <c r="K6" s="15" t="s">
        <v>8</v>
      </c>
      <c r="L6" s="15" t="s">
        <v>9</v>
      </c>
      <c r="M6" s="15" t="s">
        <v>10</v>
      </c>
      <c r="N6" s="37" t="s">
        <v>8</v>
      </c>
      <c r="O6" s="37" t="s">
        <v>9</v>
      </c>
      <c r="P6" s="37" t="s">
        <v>10</v>
      </c>
      <c r="Q6" s="37" t="s">
        <v>8</v>
      </c>
      <c r="R6" s="37" t="s">
        <v>9</v>
      </c>
      <c r="S6" s="37" t="s">
        <v>10</v>
      </c>
      <c r="T6" s="37" t="s">
        <v>8</v>
      </c>
      <c r="U6" s="37" t="s">
        <v>9</v>
      </c>
      <c r="V6" s="37" t="s">
        <v>10</v>
      </c>
      <c r="W6" s="37" t="s">
        <v>8</v>
      </c>
      <c r="X6" s="37" t="s">
        <v>9</v>
      </c>
      <c r="Y6" s="37" t="s">
        <v>10</v>
      </c>
      <c r="Z6" s="37" t="s">
        <v>8</v>
      </c>
      <c r="AA6" s="37" t="s">
        <v>9</v>
      </c>
      <c r="AB6" s="52" t="s">
        <v>10</v>
      </c>
      <c r="AC6" s="143"/>
      <c r="AD6" s="156"/>
      <c r="AE6" s="136"/>
      <c r="AF6" s="136"/>
      <c r="AG6" s="136"/>
      <c r="AH6" s="143"/>
      <c r="AI6" s="70"/>
      <c r="AJ6" s="13"/>
      <c r="AK6" s="13"/>
    </row>
    <row r="7" spans="1:37" ht="19.5" customHeight="1" x14ac:dyDescent="0.3">
      <c r="A7" s="86" t="s">
        <v>179</v>
      </c>
      <c r="B7" s="83">
        <f>49843.73+11429.58</f>
        <v>61273.310000000005</v>
      </c>
      <c r="C7" s="83">
        <f>35612.99+8166.36</f>
        <v>43779.35</v>
      </c>
      <c r="D7" s="83">
        <f>47758.69+12197</f>
        <v>59955.69</v>
      </c>
      <c r="E7" s="83">
        <v>81545.61</v>
      </c>
      <c r="F7" s="83">
        <v>63600.7</v>
      </c>
      <c r="G7" s="83">
        <v>69438.33</v>
      </c>
      <c r="H7" s="83">
        <v>91722.68</v>
      </c>
      <c r="I7" s="83">
        <v>72046.22</v>
      </c>
      <c r="J7" s="83">
        <v>72082.399999999994</v>
      </c>
      <c r="K7" s="83">
        <v>86232.49</v>
      </c>
      <c r="L7" s="83">
        <v>88258.15</v>
      </c>
      <c r="M7" s="83">
        <v>80159.179999999993</v>
      </c>
      <c r="N7" s="7">
        <f t="shared" ref="N7:P14" si="0">B7+E7+H7+K7</f>
        <v>320774.09000000003</v>
      </c>
      <c r="O7" s="7">
        <f t="shared" si="0"/>
        <v>267684.42</v>
      </c>
      <c r="P7" s="7">
        <f t="shared" si="0"/>
        <v>281635.59999999998</v>
      </c>
      <c r="Q7" s="7">
        <v>59333.301999999996</v>
      </c>
      <c r="R7" s="7">
        <v>50827.860076018405</v>
      </c>
      <c r="S7" s="7">
        <v>7430.66</v>
      </c>
      <c r="T7" s="7">
        <f>N7+Q7</f>
        <v>380107.39199999999</v>
      </c>
      <c r="U7" s="7">
        <f>O7+R7</f>
        <v>318512.28007601842</v>
      </c>
      <c r="V7" s="7">
        <f>P7+S7</f>
        <v>289066.25999999995</v>
      </c>
      <c r="W7" s="7">
        <v>106625.32</v>
      </c>
      <c r="X7" s="7">
        <v>85067.39</v>
      </c>
      <c r="Y7" s="7">
        <v>108719.29</v>
      </c>
      <c r="Z7" s="7">
        <f>T7+W7</f>
        <v>486732.712</v>
      </c>
      <c r="AA7" s="7">
        <f>U7+X7</f>
        <v>403579.67007601843</v>
      </c>
      <c r="AB7" s="7">
        <f>V7+Y7</f>
        <v>397785.54999999993</v>
      </c>
      <c r="AC7" s="84">
        <f>AA7-AB7</f>
        <v>5794.120076018502</v>
      </c>
      <c r="AD7" s="25">
        <v>-3185.12</v>
      </c>
      <c r="AE7" s="7">
        <v>-1427.37</v>
      </c>
      <c r="AF7" s="7">
        <v>-3319.79</v>
      </c>
      <c r="AG7" s="7">
        <v>-16261.89</v>
      </c>
      <c r="AH7" s="84">
        <f>AC7+AD7+AE7+AF7+AG7</f>
        <v>-18400.049923981496</v>
      </c>
    </row>
    <row r="8" spans="1:37" ht="19.5" customHeight="1" x14ac:dyDescent="0.3">
      <c r="A8" s="86" t="s">
        <v>180</v>
      </c>
      <c r="B8" s="83">
        <f>49947.8+11397.21</f>
        <v>61345.01</v>
      </c>
      <c r="C8" s="83">
        <f>37533.112+8564.38</f>
        <v>46097.491999999998</v>
      </c>
      <c r="D8" s="83">
        <f>49654.24+12968</f>
        <v>62622.239999999998</v>
      </c>
      <c r="E8" s="83">
        <v>81445.38</v>
      </c>
      <c r="F8" s="83">
        <v>78182.84</v>
      </c>
      <c r="G8" s="83">
        <v>73557.789999999994</v>
      </c>
      <c r="H8" s="83">
        <v>91646.23</v>
      </c>
      <c r="I8" s="83">
        <v>77529.990000000005</v>
      </c>
      <c r="J8" s="83">
        <v>75705.67</v>
      </c>
      <c r="K8" s="83">
        <v>85010.59</v>
      </c>
      <c r="L8" s="83">
        <v>80447.3</v>
      </c>
      <c r="M8" s="83">
        <v>84104.12</v>
      </c>
      <c r="N8" s="7">
        <f t="shared" si="0"/>
        <v>319447.20999999996</v>
      </c>
      <c r="O8" s="7">
        <f t="shared" si="0"/>
        <v>282257.62199999997</v>
      </c>
      <c r="P8" s="7">
        <f t="shared" si="0"/>
        <v>295989.82</v>
      </c>
      <c r="Q8" s="7">
        <v>60697.492000000006</v>
      </c>
      <c r="R8" s="7">
        <v>56418.742441384617</v>
      </c>
      <c r="S8" s="7">
        <v>109635.64</v>
      </c>
      <c r="T8" s="7">
        <f t="shared" ref="T8:V14" si="1">N8+Q8</f>
        <v>380144.70199999999</v>
      </c>
      <c r="U8" s="7">
        <f t="shared" si="1"/>
        <v>338676.36444138456</v>
      </c>
      <c r="V8" s="7">
        <f t="shared" si="1"/>
        <v>405625.46</v>
      </c>
      <c r="W8" s="7">
        <v>106577.61</v>
      </c>
      <c r="X8" s="7">
        <v>105007.87</v>
      </c>
      <c r="Y8" s="7">
        <v>90805.17</v>
      </c>
      <c r="Z8" s="7">
        <f t="shared" ref="Z8:AB14" si="2">T8+W8</f>
        <v>486722.31199999998</v>
      </c>
      <c r="AA8" s="7">
        <f t="shared" si="2"/>
        <v>443684.23444138456</v>
      </c>
      <c r="AB8" s="7">
        <f t="shared" si="2"/>
        <v>496430.63</v>
      </c>
      <c r="AC8" s="84">
        <f t="shared" ref="AC8:AC14" si="3">AA8-AB8</f>
        <v>-52746.395558615448</v>
      </c>
      <c r="AD8" s="25">
        <v>-3386.76</v>
      </c>
      <c r="AE8" s="7">
        <v>-1518.95</v>
      </c>
      <c r="AF8" s="7">
        <v>-3021.83</v>
      </c>
      <c r="AG8" s="7">
        <v>-14548.37</v>
      </c>
      <c r="AH8" s="84">
        <f t="shared" ref="AH8:AH14" si="4">AC8+AD8+AE8+AF8+AG8</f>
        <v>-75222.305558615451</v>
      </c>
    </row>
    <row r="9" spans="1:37" ht="21.75" customHeight="1" x14ac:dyDescent="0.3">
      <c r="A9" s="87" t="s">
        <v>181</v>
      </c>
      <c r="B9" s="83">
        <v>910.75</v>
      </c>
      <c r="C9" s="83">
        <v>593.5</v>
      </c>
      <c r="D9" s="83">
        <v>1094.8699999999999</v>
      </c>
      <c r="E9" s="83">
        <v>5431.08</v>
      </c>
      <c r="F9" s="83">
        <v>5407.55</v>
      </c>
      <c r="G9" s="83">
        <v>7066.86</v>
      </c>
      <c r="H9" s="83">
        <v>5572.44</v>
      </c>
      <c r="I9" s="83">
        <v>5572.79</v>
      </c>
      <c r="J9" s="83">
        <v>7336.91</v>
      </c>
      <c r="K9" s="83">
        <v>5664.84</v>
      </c>
      <c r="L9" s="83">
        <v>5646.01</v>
      </c>
      <c r="M9" s="83">
        <v>7224.94</v>
      </c>
      <c r="N9" s="7">
        <f t="shared" si="0"/>
        <v>17579.11</v>
      </c>
      <c r="O9" s="7">
        <f t="shared" si="0"/>
        <v>17219.849999999999</v>
      </c>
      <c r="P9" s="7">
        <f t="shared" si="0"/>
        <v>22723.579999999998</v>
      </c>
      <c r="Q9" s="7">
        <v>0</v>
      </c>
      <c r="R9" s="7">
        <v>0</v>
      </c>
      <c r="S9" s="7">
        <v>0</v>
      </c>
      <c r="T9" s="7">
        <f t="shared" si="1"/>
        <v>17579.11</v>
      </c>
      <c r="U9" s="7">
        <f t="shared" si="1"/>
        <v>17219.849999999999</v>
      </c>
      <c r="V9" s="7">
        <f t="shared" si="1"/>
        <v>22723.579999999998</v>
      </c>
      <c r="W9" s="7">
        <v>5822.22</v>
      </c>
      <c r="X9" s="7">
        <v>5808.21</v>
      </c>
      <c r="Y9" s="7">
        <v>7495.74</v>
      </c>
      <c r="Z9" s="7">
        <f t="shared" si="2"/>
        <v>23401.33</v>
      </c>
      <c r="AA9" s="7">
        <f t="shared" si="2"/>
        <v>23028.059999999998</v>
      </c>
      <c r="AB9" s="7">
        <f t="shared" si="2"/>
        <v>30219.32</v>
      </c>
      <c r="AC9" s="84">
        <f t="shared" si="3"/>
        <v>-7191.260000000002</v>
      </c>
      <c r="AD9" s="25">
        <v>-172.2</v>
      </c>
      <c r="AE9" s="7">
        <v>-179.56</v>
      </c>
      <c r="AF9" s="7"/>
      <c r="AG9" s="7"/>
      <c r="AH9" s="84">
        <f t="shared" si="4"/>
        <v>-7543.0200000000023</v>
      </c>
    </row>
    <row r="10" spans="1:37" ht="18.75" customHeight="1" x14ac:dyDescent="0.3">
      <c r="A10" s="87" t="s">
        <v>182</v>
      </c>
      <c r="B10" s="83"/>
      <c r="C10" s="83"/>
      <c r="D10" s="83"/>
      <c r="E10" s="83">
        <v>97648.9</v>
      </c>
      <c r="F10" s="83">
        <v>75617.7</v>
      </c>
      <c r="G10" s="83">
        <v>73070.960000000006</v>
      </c>
      <c r="H10" s="83">
        <v>92130.39</v>
      </c>
      <c r="I10" s="83">
        <v>81606.12</v>
      </c>
      <c r="J10" s="83">
        <v>73597.14</v>
      </c>
      <c r="K10" s="83">
        <v>86221.68</v>
      </c>
      <c r="L10" s="83">
        <v>87659.49</v>
      </c>
      <c r="M10" s="83">
        <v>80234.679999999993</v>
      </c>
      <c r="N10" s="7">
        <f t="shared" si="0"/>
        <v>276000.96999999997</v>
      </c>
      <c r="O10" s="7">
        <f t="shared" si="0"/>
        <v>244883.31</v>
      </c>
      <c r="P10" s="7">
        <f t="shared" si="0"/>
        <v>226902.78</v>
      </c>
      <c r="Q10" s="7">
        <v>59280.17</v>
      </c>
      <c r="R10" s="7">
        <v>55635.800811122172</v>
      </c>
      <c r="S10" s="7">
        <v>7098.98</v>
      </c>
      <c r="T10" s="7">
        <f t="shared" si="1"/>
        <v>335281.13999999996</v>
      </c>
      <c r="U10" s="7">
        <f t="shared" si="1"/>
        <v>300519.11081112217</v>
      </c>
      <c r="V10" s="7">
        <f t="shared" si="1"/>
        <v>234001.76</v>
      </c>
      <c r="W10" s="7">
        <v>107624.74</v>
      </c>
      <c r="X10" s="7">
        <v>81517.05</v>
      </c>
      <c r="Y10" s="7">
        <v>88277.39</v>
      </c>
      <c r="Z10" s="7">
        <f t="shared" si="2"/>
        <v>442905.87999999995</v>
      </c>
      <c r="AA10" s="7">
        <f t="shared" si="2"/>
        <v>382036.16081112216</v>
      </c>
      <c r="AB10" s="7">
        <f t="shared" si="2"/>
        <v>322279.15000000002</v>
      </c>
      <c r="AC10" s="84">
        <f t="shared" si="3"/>
        <v>59757.010811122134</v>
      </c>
      <c r="AD10" s="25">
        <v>-3005.19</v>
      </c>
      <c r="AE10" s="7">
        <v>-1104.0899999999999</v>
      </c>
      <c r="AF10" s="7">
        <v>-1306.5999999999999</v>
      </c>
      <c r="AG10" s="7">
        <v>-6781.83</v>
      </c>
      <c r="AH10" s="84">
        <f t="shared" si="4"/>
        <v>47559.300811122135</v>
      </c>
    </row>
    <row r="11" spans="1:37" ht="19.5" customHeight="1" x14ac:dyDescent="0.3">
      <c r="A11" s="87" t="s">
        <v>183</v>
      </c>
      <c r="B11" s="83">
        <v>1036.56</v>
      </c>
      <c r="C11" s="83"/>
      <c r="D11" s="83">
        <v>4298.32</v>
      </c>
      <c r="E11" s="83">
        <v>6020.4</v>
      </c>
      <c r="F11" s="83">
        <v>4096.07</v>
      </c>
      <c r="G11" s="83">
        <v>8043.13</v>
      </c>
      <c r="H11" s="83">
        <v>6020.4</v>
      </c>
      <c r="I11" s="83">
        <v>8282.4</v>
      </c>
      <c r="J11" s="83">
        <v>8350.42</v>
      </c>
      <c r="K11" s="83">
        <v>5150.3999999999996</v>
      </c>
      <c r="L11" s="83">
        <v>2950.03</v>
      </c>
      <c r="M11" s="83">
        <v>8198.8700000000008</v>
      </c>
      <c r="N11" s="7">
        <f t="shared" si="0"/>
        <v>18227.759999999998</v>
      </c>
      <c r="O11" s="7">
        <f t="shared" si="0"/>
        <v>15328.5</v>
      </c>
      <c r="P11" s="7">
        <f t="shared" si="0"/>
        <v>28890.740000000005</v>
      </c>
      <c r="Q11" s="7">
        <v>0</v>
      </c>
      <c r="R11" s="7">
        <v>0</v>
      </c>
      <c r="S11" s="7">
        <v>0</v>
      </c>
      <c r="T11" s="7">
        <f t="shared" si="1"/>
        <v>18227.759999999998</v>
      </c>
      <c r="U11" s="7">
        <f t="shared" si="1"/>
        <v>15328.5</v>
      </c>
      <c r="V11" s="7">
        <f t="shared" si="1"/>
        <v>28890.740000000005</v>
      </c>
      <c r="W11" s="7">
        <v>4349.3</v>
      </c>
      <c r="X11" s="7">
        <v>5844.18</v>
      </c>
      <c r="Y11" s="7">
        <v>8485.0499999999993</v>
      </c>
      <c r="Z11" s="7">
        <f t="shared" si="2"/>
        <v>22577.059999999998</v>
      </c>
      <c r="AA11" s="7">
        <f t="shared" si="2"/>
        <v>21172.68</v>
      </c>
      <c r="AB11" s="7">
        <f t="shared" si="2"/>
        <v>37375.790000000008</v>
      </c>
      <c r="AC11" s="84">
        <f t="shared" si="3"/>
        <v>-16203.110000000008</v>
      </c>
      <c r="AD11" s="25">
        <v>-153.28</v>
      </c>
      <c r="AE11" s="7">
        <v>-204.37</v>
      </c>
      <c r="AF11" s="7"/>
      <c r="AG11" s="7"/>
      <c r="AH11" s="84">
        <f t="shared" si="4"/>
        <v>-16560.760000000009</v>
      </c>
    </row>
    <row r="12" spans="1:37" ht="19.5" customHeight="1" x14ac:dyDescent="0.3">
      <c r="A12" s="86" t="s">
        <v>184</v>
      </c>
      <c r="B12" s="83">
        <f>141359.79+32047.73</f>
        <v>173407.52000000002</v>
      </c>
      <c r="C12" s="83">
        <f>120859.15+27400.05</f>
        <v>148259.19999999998</v>
      </c>
      <c r="D12" s="83">
        <f>139102.53+34760</f>
        <v>173862.53</v>
      </c>
      <c r="E12" s="83">
        <v>231797.46</v>
      </c>
      <c r="F12" s="83">
        <v>230872.89</v>
      </c>
      <c r="G12" s="83">
        <v>201590.36</v>
      </c>
      <c r="H12" s="83">
        <v>281510.94</v>
      </c>
      <c r="I12" s="83">
        <v>254653.79</v>
      </c>
      <c r="J12" s="83">
        <v>217392.52</v>
      </c>
      <c r="K12" s="83">
        <v>267573.83</v>
      </c>
      <c r="L12" s="83">
        <v>267683.08</v>
      </c>
      <c r="M12" s="83">
        <v>240289.98</v>
      </c>
      <c r="N12" s="7">
        <f t="shared" si="0"/>
        <v>954289.75</v>
      </c>
      <c r="O12" s="7">
        <f t="shared" si="0"/>
        <v>901468.96</v>
      </c>
      <c r="P12" s="7">
        <f t="shared" si="0"/>
        <v>833135.39</v>
      </c>
      <c r="Q12" s="7">
        <v>172069.87</v>
      </c>
      <c r="R12" s="7">
        <v>169178.27994961166</v>
      </c>
      <c r="S12" s="7">
        <v>74322.27</v>
      </c>
      <c r="T12" s="7">
        <f t="shared" si="1"/>
        <v>1126359.6200000001</v>
      </c>
      <c r="U12" s="7">
        <f t="shared" si="1"/>
        <v>1070647.2399496117</v>
      </c>
      <c r="V12" s="7">
        <f t="shared" si="1"/>
        <v>907457.66</v>
      </c>
      <c r="W12" s="7">
        <v>328697.90000000002</v>
      </c>
      <c r="X12" s="7">
        <v>330443.36</v>
      </c>
      <c r="Y12" s="7">
        <v>268245.15000000002</v>
      </c>
      <c r="Z12" s="7">
        <f t="shared" si="2"/>
        <v>1455057.52</v>
      </c>
      <c r="AA12" s="7">
        <f t="shared" si="2"/>
        <v>1401090.5999496118</v>
      </c>
      <c r="AB12" s="7">
        <f t="shared" si="2"/>
        <v>1175702.81</v>
      </c>
      <c r="AC12" s="84">
        <f t="shared" si="3"/>
        <v>225387.78994961176</v>
      </c>
      <c r="AD12" s="25">
        <v>-10706.47</v>
      </c>
      <c r="AE12" s="7">
        <v>-4066.09</v>
      </c>
      <c r="AF12" s="7">
        <v>-1069.44</v>
      </c>
      <c r="AG12" s="7">
        <v>-9724.3700000000008</v>
      </c>
      <c r="AH12" s="84">
        <f t="shared" si="4"/>
        <v>199821.41994961177</v>
      </c>
    </row>
    <row r="13" spans="1:37" ht="20.25" customHeight="1" x14ac:dyDescent="0.3">
      <c r="A13" s="86" t="s">
        <v>185</v>
      </c>
      <c r="B13" s="83">
        <f>142555.38+32319.1</f>
        <v>174874.48</v>
      </c>
      <c r="C13" s="83">
        <f>119154.46+27015.78</f>
        <v>146170.23999999999</v>
      </c>
      <c r="D13" s="83">
        <f>141071+35100</f>
        <v>176171</v>
      </c>
      <c r="E13" s="83">
        <v>234167.67</v>
      </c>
      <c r="F13" s="83">
        <v>223847.23</v>
      </c>
      <c r="G13" s="83">
        <v>210904.95</v>
      </c>
      <c r="H13" s="83">
        <v>284442.73</v>
      </c>
      <c r="I13" s="83">
        <v>251645.63</v>
      </c>
      <c r="J13" s="83">
        <v>229383.55</v>
      </c>
      <c r="K13" s="83">
        <v>270430.86</v>
      </c>
      <c r="L13" s="83">
        <v>234569.84</v>
      </c>
      <c r="M13" s="83">
        <v>248008.66</v>
      </c>
      <c r="N13" s="7">
        <f t="shared" si="0"/>
        <v>963915.74</v>
      </c>
      <c r="O13" s="7">
        <f t="shared" si="0"/>
        <v>856232.94</v>
      </c>
      <c r="P13" s="7">
        <f t="shared" si="0"/>
        <v>864468.16</v>
      </c>
      <c r="Q13" s="7">
        <v>173521.85</v>
      </c>
      <c r="R13" s="7">
        <v>162299.4155200581</v>
      </c>
      <c r="S13" s="7">
        <v>73306.820000000007</v>
      </c>
      <c r="T13" s="7">
        <f t="shared" si="1"/>
        <v>1137437.5900000001</v>
      </c>
      <c r="U13" s="7">
        <f t="shared" si="1"/>
        <v>1018532.3555200581</v>
      </c>
      <c r="V13" s="7">
        <f t="shared" si="1"/>
        <v>937774.98</v>
      </c>
      <c r="W13" s="7">
        <v>331672.90000000002</v>
      </c>
      <c r="X13" s="7">
        <v>309334.33</v>
      </c>
      <c r="Y13" s="7">
        <v>284567.25</v>
      </c>
      <c r="Z13" s="7">
        <f t="shared" si="2"/>
        <v>1469110.4900000002</v>
      </c>
      <c r="AA13" s="7">
        <f t="shared" si="2"/>
        <v>1327866.685520058</v>
      </c>
      <c r="AB13" s="7">
        <f t="shared" si="2"/>
        <v>1222342.23</v>
      </c>
      <c r="AC13" s="84">
        <f t="shared" si="3"/>
        <v>105524.45552005805</v>
      </c>
      <c r="AD13" s="25">
        <v>-10185.32</v>
      </c>
      <c r="AE13" s="7">
        <v>-4100.0600000000004</v>
      </c>
      <c r="AF13" s="7">
        <v>-2343.7800000000002</v>
      </c>
      <c r="AG13" s="7">
        <v>-24799.88</v>
      </c>
      <c r="AH13" s="84">
        <f t="shared" si="4"/>
        <v>64095.415520058043</v>
      </c>
    </row>
    <row r="14" spans="1:37" ht="21" customHeight="1" x14ac:dyDescent="0.3">
      <c r="A14" s="88" t="s">
        <v>186</v>
      </c>
      <c r="B14" s="83">
        <v>4235.66</v>
      </c>
      <c r="C14" s="83">
        <v>3659.08</v>
      </c>
      <c r="D14" s="83">
        <v>5835.56</v>
      </c>
      <c r="E14" s="83">
        <v>5968.38</v>
      </c>
      <c r="F14" s="83">
        <v>6183.33</v>
      </c>
      <c r="G14" s="83">
        <v>8475.7900000000009</v>
      </c>
      <c r="H14" s="83">
        <v>6124.2</v>
      </c>
      <c r="I14" s="83">
        <v>5870.36</v>
      </c>
      <c r="J14" s="83">
        <v>8310.66</v>
      </c>
      <c r="K14" s="83">
        <v>6223.55</v>
      </c>
      <c r="L14" s="83">
        <v>6457.52</v>
      </c>
      <c r="M14" s="83">
        <v>8632.75</v>
      </c>
      <c r="N14" s="7">
        <f t="shared" si="0"/>
        <v>22551.79</v>
      </c>
      <c r="O14" s="7">
        <f t="shared" si="0"/>
        <v>22170.29</v>
      </c>
      <c r="P14" s="7">
        <f t="shared" si="0"/>
        <v>31254.760000000002</v>
      </c>
      <c r="Q14" s="7">
        <v>0</v>
      </c>
      <c r="R14" s="7">
        <v>0</v>
      </c>
      <c r="S14" s="7">
        <v>0</v>
      </c>
      <c r="T14" s="7">
        <f t="shared" si="1"/>
        <v>22551.79</v>
      </c>
      <c r="U14" s="7">
        <f t="shared" si="1"/>
        <v>22170.29</v>
      </c>
      <c r="V14" s="7">
        <f t="shared" si="1"/>
        <v>31254.760000000002</v>
      </c>
      <c r="W14" s="7">
        <v>6393.2</v>
      </c>
      <c r="X14" s="7">
        <v>6598.6</v>
      </c>
      <c r="Y14" s="7">
        <v>10708.03</v>
      </c>
      <c r="Z14" s="7">
        <f t="shared" si="2"/>
        <v>28944.99</v>
      </c>
      <c r="AA14" s="7">
        <f t="shared" si="2"/>
        <v>28768.89</v>
      </c>
      <c r="AB14" s="7">
        <f t="shared" si="2"/>
        <v>41962.79</v>
      </c>
      <c r="AC14" s="84">
        <f t="shared" si="3"/>
        <v>-13193.900000000001</v>
      </c>
      <c r="AD14" s="25">
        <v>-221.7</v>
      </c>
      <c r="AE14" s="7">
        <v>-215.36</v>
      </c>
      <c r="AF14" s="7"/>
      <c r="AG14" s="7"/>
      <c r="AH14" s="84">
        <f t="shared" si="4"/>
        <v>-13630.960000000003</v>
      </c>
    </row>
    <row r="15" spans="1:37" ht="18.75" x14ac:dyDescent="0.3">
      <c r="A15" s="27" t="s">
        <v>187</v>
      </c>
      <c r="B15" s="7">
        <f>SUM(B7:B14)</f>
        <v>477083.29</v>
      </c>
      <c r="C15" s="7">
        <f>SUM(C7:C14)</f>
        <v>388558.86200000002</v>
      </c>
      <c r="D15" s="7">
        <f>SUM(D7:D14)</f>
        <v>483840.21</v>
      </c>
      <c r="E15" s="7">
        <f t="shared" ref="E15" si="5">SUM(E7:E14)</f>
        <v>744024.88</v>
      </c>
      <c r="F15" s="7">
        <f>SUM(F7:F14)</f>
        <v>687808.30999999994</v>
      </c>
      <c r="G15" s="7">
        <f t="shared" ref="G15:M15" si="6">SUM(G7:G14)</f>
        <v>652148.17000000004</v>
      </c>
      <c r="H15" s="7">
        <f t="shared" si="6"/>
        <v>859170.01</v>
      </c>
      <c r="I15" s="7">
        <f t="shared" si="6"/>
        <v>757207.3</v>
      </c>
      <c r="J15" s="7">
        <f t="shared" si="6"/>
        <v>692159.27</v>
      </c>
      <c r="K15" s="7">
        <f t="shared" si="6"/>
        <v>812508.24000000011</v>
      </c>
      <c r="L15" s="7">
        <f t="shared" si="6"/>
        <v>773671.42</v>
      </c>
      <c r="M15" s="7">
        <f t="shared" si="6"/>
        <v>756853.18</v>
      </c>
      <c r="N15" s="7">
        <f>SUM(N7:N14)</f>
        <v>2892786.42</v>
      </c>
      <c r="O15" s="7">
        <f>SUM(O7:O14)</f>
        <v>2607245.892</v>
      </c>
      <c r="P15" s="7">
        <f>SUM(P7:P14)</f>
        <v>2585000.8299999996</v>
      </c>
      <c r="Q15" s="7">
        <v>524902.68400000001</v>
      </c>
      <c r="R15" s="7">
        <v>494360.09879819502</v>
      </c>
      <c r="S15" s="7">
        <f>SUM(S7:S14)</f>
        <v>271794.37</v>
      </c>
      <c r="T15" s="7">
        <f t="shared" ref="T15:AC15" si="7">SUM(T7:T14)</f>
        <v>3417689.1040000003</v>
      </c>
      <c r="U15" s="7">
        <f t="shared" si="7"/>
        <v>3101605.9907981949</v>
      </c>
      <c r="V15" s="7">
        <f t="shared" si="7"/>
        <v>2856795.1999999997</v>
      </c>
      <c r="W15" s="7">
        <f t="shared" si="7"/>
        <v>997763.19000000006</v>
      </c>
      <c r="X15" s="7">
        <f t="shared" si="7"/>
        <v>929620.99000000011</v>
      </c>
      <c r="Y15" s="7">
        <f t="shared" si="7"/>
        <v>867303.07000000007</v>
      </c>
      <c r="Z15" s="7">
        <f t="shared" si="7"/>
        <v>4415452.2940000007</v>
      </c>
      <c r="AA15" s="7">
        <f t="shared" si="7"/>
        <v>4031226.9807981951</v>
      </c>
      <c r="AB15" s="7">
        <f t="shared" si="7"/>
        <v>3724098.27</v>
      </c>
      <c r="AC15" s="84">
        <f t="shared" si="7"/>
        <v>307128.71079819498</v>
      </c>
      <c r="AD15" s="25">
        <f>SUM(AD7:AD14)</f>
        <v>-31016.04</v>
      </c>
      <c r="AE15" s="7">
        <f t="shared" ref="AE15:AG15" si="8">SUM(AE7:AE14)</f>
        <v>-12815.850000000002</v>
      </c>
      <c r="AF15" s="7">
        <f t="shared" si="8"/>
        <v>-11061.44</v>
      </c>
      <c r="AG15" s="7">
        <f t="shared" si="8"/>
        <v>-72116.340000000011</v>
      </c>
      <c r="AH15" s="84">
        <f>SUM(AH7:AH14)</f>
        <v>180119.040798195</v>
      </c>
    </row>
  </sheetData>
  <mergeCells count="18">
    <mergeCell ref="A5:A6"/>
    <mergeCell ref="B5:D5"/>
    <mergeCell ref="E5:G5"/>
    <mergeCell ref="H5:J5"/>
    <mergeCell ref="AE5:AE6"/>
    <mergeCell ref="K5:M5"/>
    <mergeCell ref="N5:P5"/>
    <mergeCell ref="Q5:S5"/>
    <mergeCell ref="T5:V5"/>
    <mergeCell ref="W5:Y5"/>
    <mergeCell ref="AD5:AD6"/>
    <mergeCell ref="Z4:AB5"/>
    <mergeCell ref="AC4:AC6"/>
    <mergeCell ref="AD4:AG4"/>
    <mergeCell ref="B4:G4"/>
    <mergeCell ref="AH4:AH6"/>
    <mergeCell ref="AF5:AF6"/>
    <mergeCell ref="AG5:A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L22"/>
  <sheetViews>
    <sheetView topLeftCell="AB5" workbookViewId="0">
      <selection activeCell="AG24" sqref="AG24"/>
    </sheetView>
  </sheetViews>
  <sheetFormatPr defaultRowHeight="15.75" x14ac:dyDescent="0.25"/>
  <cols>
    <col min="1" max="1" width="24.375" style="6" customWidth="1"/>
    <col min="2" max="2" width="14.125" style="6" customWidth="1"/>
    <col min="3" max="3" width="13" style="6" customWidth="1"/>
    <col min="4" max="4" width="12.875" style="6" customWidth="1"/>
    <col min="5" max="5" width="13.125" style="6" customWidth="1"/>
    <col min="6" max="6" width="12.375" style="6" customWidth="1"/>
    <col min="7" max="7" width="12" style="6" customWidth="1"/>
    <col min="8" max="8" width="14.125" style="6" customWidth="1"/>
    <col min="9" max="9" width="13.25" style="6" customWidth="1"/>
    <col min="10" max="10" width="12.5" style="6" customWidth="1"/>
    <col min="11" max="11" width="13" style="6" customWidth="1"/>
    <col min="12" max="12" width="13.5" style="6" customWidth="1"/>
    <col min="13" max="13" width="12.75" style="6" customWidth="1"/>
    <col min="14" max="14" width="11.125" style="6" customWidth="1"/>
    <col min="15" max="15" width="11.5" style="6" customWidth="1"/>
    <col min="16" max="16" width="12.5" style="6" customWidth="1"/>
    <col min="17" max="17" width="15.25" style="6" customWidth="1"/>
    <col min="18" max="18" width="13.25" style="6" customWidth="1"/>
    <col min="19" max="19" width="13.5" style="6" customWidth="1"/>
    <col min="20" max="20" width="13" style="6" customWidth="1"/>
    <col min="21" max="22" width="14.25" style="6" customWidth="1"/>
    <col min="23" max="23" width="13.5" style="6" customWidth="1"/>
    <col min="24" max="24" width="12.75" style="6" customWidth="1"/>
    <col min="25" max="25" width="13.625" style="6" customWidth="1"/>
    <col min="26" max="26" width="15.125" style="6" customWidth="1"/>
    <col min="27" max="27" width="14.875" style="6" customWidth="1"/>
    <col min="28" max="28" width="15.375" style="6" customWidth="1"/>
    <col min="29" max="29" width="16" style="6" customWidth="1"/>
    <col min="30" max="30" width="13.5" style="6" customWidth="1"/>
    <col min="31" max="31" width="11.875" style="6" customWidth="1"/>
    <col min="32" max="32" width="11.625" style="6" customWidth="1"/>
    <col min="33" max="33" width="11.875" style="6" customWidth="1"/>
    <col min="34" max="34" width="15.25" style="6" customWidth="1"/>
    <col min="35" max="35" width="10.75" style="6" customWidth="1"/>
    <col min="36" max="36" width="13.375" style="6" customWidth="1"/>
    <col min="37" max="37" width="13.625" style="6" customWidth="1"/>
    <col min="38" max="16384" width="9" style="6"/>
  </cols>
  <sheetData>
    <row r="3" spans="1:38" x14ac:dyDescent="0.25">
      <c r="D3" s="93"/>
    </row>
    <row r="4" spans="1:38" x14ac:dyDescent="0.25">
      <c r="AD4" s="20" t="s">
        <v>204</v>
      </c>
    </row>
    <row r="5" spans="1:38" ht="34.5" customHeight="1" x14ac:dyDescent="0.35">
      <c r="A5" s="96" t="s">
        <v>189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132" t="s">
        <v>275</v>
      </c>
      <c r="AA5" s="132"/>
      <c r="AB5" s="132"/>
      <c r="AC5" s="136" t="s">
        <v>303</v>
      </c>
      <c r="AD5" s="163" t="s">
        <v>2</v>
      </c>
      <c r="AE5" s="163"/>
      <c r="AF5" s="163"/>
      <c r="AG5" s="163"/>
      <c r="AH5" s="163"/>
      <c r="AI5" s="163"/>
      <c r="AJ5" s="163"/>
      <c r="AK5" s="37"/>
      <c r="AL5" s="36"/>
    </row>
    <row r="6" spans="1:38" ht="18.75" x14ac:dyDescent="0.25">
      <c r="A6" s="164" t="s">
        <v>44</v>
      </c>
      <c r="B6" s="132" t="s">
        <v>268</v>
      </c>
      <c r="C6" s="132"/>
      <c r="D6" s="132"/>
      <c r="E6" s="132" t="s">
        <v>269</v>
      </c>
      <c r="F6" s="132"/>
      <c r="G6" s="132"/>
      <c r="H6" s="132" t="s">
        <v>270</v>
      </c>
      <c r="I6" s="132"/>
      <c r="J6" s="132"/>
      <c r="K6" s="132" t="s">
        <v>271</v>
      </c>
      <c r="L6" s="132"/>
      <c r="M6" s="132"/>
      <c r="N6" s="132" t="s">
        <v>313</v>
      </c>
      <c r="O6" s="132"/>
      <c r="P6" s="132"/>
      <c r="Q6" s="132" t="s">
        <v>307</v>
      </c>
      <c r="R6" s="132"/>
      <c r="S6" s="132"/>
      <c r="T6" s="132" t="s">
        <v>314</v>
      </c>
      <c r="U6" s="132"/>
      <c r="V6" s="132"/>
      <c r="W6" s="132" t="s">
        <v>297</v>
      </c>
      <c r="X6" s="132"/>
      <c r="Y6" s="132"/>
      <c r="Z6" s="132"/>
      <c r="AA6" s="132"/>
      <c r="AB6" s="132"/>
      <c r="AC6" s="136"/>
      <c r="AD6" s="136" t="s">
        <v>301</v>
      </c>
      <c r="AE6" s="136" t="s">
        <v>316</v>
      </c>
      <c r="AF6" s="136" t="s">
        <v>320</v>
      </c>
      <c r="AG6" s="136" t="s">
        <v>315</v>
      </c>
      <c r="AH6" s="165" t="s">
        <v>319</v>
      </c>
      <c r="AI6" s="141" t="s">
        <v>318</v>
      </c>
      <c r="AJ6" s="141" t="s">
        <v>317</v>
      </c>
      <c r="AK6" s="141" t="s">
        <v>303</v>
      </c>
      <c r="AL6" s="36"/>
    </row>
    <row r="7" spans="1:38" ht="118.5" customHeight="1" x14ac:dyDescent="0.25">
      <c r="A7" s="164"/>
      <c r="B7" s="37" t="s">
        <v>8</v>
      </c>
      <c r="C7" s="37" t="s">
        <v>9</v>
      </c>
      <c r="D7" s="38" t="s">
        <v>10</v>
      </c>
      <c r="E7" s="37" t="s">
        <v>8</v>
      </c>
      <c r="F7" s="37" t="s">
        <v>9</v>
      </c>
      <c r="G7" s="37" t="s">
        <v>10</v>
      </c>
      <c r="H7" s="37" t="s">
        <v>8</v>
      </c>
      <c r="I7" s="37" t="s">
        <v>9</v>
      </c>
      <c r="J7" s="37" t="s">
        <v>10</v>
      </c>
      <c r="K7" s="37" t="s">
        <v>8</v>
      </c>
      <c r="L7" s="37" t="s">
        <v>9</v>
      </c>
      <c r="M7" s="37" t="s">
        <v>10</v>
      </c>
      <c r="N7" s="37" t="s">
        <v>8</v>
      </c>
      <c r="O7" s="37" t="s">
        <v>9</v>
      </c>
      <c r="P7" s="37" t="s">
        <v>10</v>
      </c>
      <c r="Q7" s="37" t="s">
        <v>8</v>
      </c>
      <c r="R7" s="37" t="s">
        <v>9</v>
      </c>
      <c r="S7" s="37" t="s">
        <v>10</v>
      </c>
      <c r="T7" s="37" t="s">
        <v>8</v>
      </c>
      <c r="U7" s="37" t="s">
        <v>9</v>
      </c>
      <c r="V7" s="37" t="s">
        <v>10</v>
      </c>
      <c r="W7" s="37" t="s">
        <v>8</v>
      </c>
      <c r="X7" s="37" t="s">
        <v>9</v>
      </c>
      <c r="Y7" s="37" t="s">
        <v>10</v>
      </c>
      <c r="Z7" s="37" t="s">
        <v>8</v>
      </c>
      <c r="AA7" s="37" t="s">
        <v>9</v>
      </c>
      <c r="AB7" s="37" t="s">
        <v>10</v>
      </c>
      <c r="AC7" s="136"/>
      <c r="AD7" s="136"/>
      <c r="AE7" s="136"/>
      <c r="AF7" s="136"/>
      <c r="AG7" s="136"/>
      <c r="AH7" s="166"/>
      <c r="AI7" s="142"/>
      <c r="AJ7" s="142"/>
      <c r="AK7" s="142"/>
      <c r="AL7" s="36"/>
    </row>
    <row r="8" spans="1:38" ht="18.75" x14ac:dyDescent="0.3">
      <c r="A8" s="19" t="s">
        <v>190</v>
      </c>
      <c r="B8" s="8">
        <v>21662.05</v>
      </c>
      <c r="C8" s="8">
        <v>15707.85</v>
      </c>
      <c r="D8" s="8">
        <v>889.4</v>
      </c>
      <c r="E8" s="8">
        <v>30492</v>
      </c>
      <c r="F8" s="8">
        <v>30435.25</v>
      </c>
      <c r="G8" s="8">
        <v>64811.79</v>
      </c>
      <c r="H8" s="8">
        <v>30492</v>
      </c>
      <c r="I8" s="8">
        <v>27773.41</v>
      </c>
      <c r="J8" s="8"/>
      <c r="K8" s="8">
        <v>30492</v>
      </c>
      <c r="L8" s="8">
        <v>27336.07</v>
      </c>
      <c r="M8" s="8">
        <v>1449.38</v>
      </c>
      <c r="N8" s="8">
        <f>B8+E8+H8+K8</f>
        <v>113138.05</v>
      </c>
      <c r="O8" s="8">
        <f>C8+F8+I8+L8</f>
        <v>101252.57999999999</v>
      </c>
      <c r="P8" s="8">
        <f>D8+G8+J8+M8</f>
        <v>67150.570000000007</v>
      </c>
      <c r="Q8" s="7">
        <v>308034.93000000005</v>
      </c>
      <c r="R8" s="7">
        <v>268823.41989247315</v>
      </c>
      <c r="S8" s="7">
        <v>284931.46427243488</v>
      </c>
      <c r="T8" s="8">
        <f>N8+Q8</f>
        <v>421172.98000000004</v>
      </c>
      <c r="U8" s="8">
        <f>O8+R8</f>
        <v>370075.9998924731</v>
      </c>
      <c r="V8" s="8">
        <f>P8+S8</f>
        <v>352082.03427243489</v>
      </c>
      <c r="W8" s="7">
        <v>115665.39</v>
      </c>
      <c r="X8" s="8">
        <v>89880.35</v>
      </c>
      <c r="Y8" s="7">
        <v>88731.27</v>
      </c>
      <c r="Z8" s="8">
        <f t="shared" ref="Z8:AB21" si="0">T8+W8</f>
        <v>536838.37</v>
      </c>
      <c r="AA8" s="8">
        <f t="shared" si="0"/>
        <v>459956.34989247308</v>
      </c>
      <c r="AB8" s="8">
        <f t="shared" si="0"/>
        <v>440813.30427243491</v>
      </c>
      <c r="AC8" s="10">
        <f>AA8-AB8</f>
        <v>19143.045620038174</v>
      </c>
      <c r="AD8" s="25">
        <v>-3700.76</v>
      </c>
      <c r="AE8" s="7">
        <v>-10049.18</v>
      </c>
      <c r="AF8" s="7">
        <v>-11781.43</v>
      </c>
      <c r="AG8" s="7">
        <f>AE8+AF8</f>
        <v>-21830.61</v>
      </c>
      <c r="AH8" s="7">
        <v>-1929.73</v>
      </c>
      <c r="AI8" s="7"/>
      <c r="AJ8" s="7">
        <v>-1790.64</v>
      </c>
      <c r="AK8" s="10">
        <f>AC8+AD8+AG8+AH8+AI8+AJ8</f>
        <v>-10108.694379961826</v>
      </c>
    </row>
    <row r="9" spans="1:38" ht="18.75" x14ac:dyDescent="0.3">
      <c r="A9" s="19" t="s">
        <v>191</v>
      </c>
      <c r="B9" s="8">
        <v>21524.48</v>
      </c>
      <c r="C9" s="8">
        <v>15555.69</v>
      </c>
      <c r="D9" s="8">
        <v>170</v>
      </c>
      <c r="E9" s="8">
        <v>30279.360000000001</v>
      </c>
      <c r="F9" s="8">
        <v>28226.15</v>
      </c>
      <c r="G9" s="8"/>
      <c r="H9" s="8">
        <v>30279.360000000001</v>
      </c>
      <c r="I9" s="8">
        <v>29701.58</v>
      </c>
      <c r="J9" s="8"/>
      <c r="K9" s="8">
        <v>30344.16</v>
      </c>
      <c r="L9" s="8">
        <v>23146.06</v>
      </c>
      <c r="M9" s="8">
        <v>5721.59</v>
      </c>
      <c r="N9" s="8">
        <f t="shared" ref="N9:P22" si="1">B9+E9+H9+K9</f>
        <v>112427.36</v>
      </c>
      <c r="O9" s="8">
        <f t="shared" si="1"/>
        <v>96629.48000000001</v>
      </c>
      <c r="P9" s="8">
        <f t="shared" si="1"/>
        <v>5891.59</v>
      </c>
      <c r="Q9" s="7">
        <v>305899</v>
      </c>
      <c r="R9" s="7">
        <v>251827.16374744452</v>
      </c>
      <c r="S9" s="7">
        <v>283117.70587596239</v>
      </c>
      <c r="T9" s="8">
        <f t="shared" ref="T9:V22" si="2">N9+Q9</f>
        <v>418326.36</v>
      </c>
      <c r="U9" s="8">
        <f t="shared" si="2"/>
        <v>348456.6437474445</v>
      </c>
      <c r="V9" s="8">
        <f t="shared" si="2"/>
        <v>289009.29587596242</v>
      </c>
      <c r="W9" s="7">
        <v>114870.19</v>
      </c>
      <c r="X9" s="8">
        <v>137557.64000000001</v>
      </c>
      <c r="Y9" s="7">
        <v>96342.75</v>
      </c>
      <c r="Z9" s="8">
        <f t="shared" si="0"/>
        <v>533196.55000000005</v>
      </c>
      <c r="AA9" s="8">
        <f t="shared" si="0"/>
        <v>486014.28374744451</v>
      </c>
      <c r="AB9" s="8">
        <f t="shared" si="0"/>
        <v>385352.04587596242</v>
      </c>
      <c r="AC9" s="10">
        <f t="shared" ref="AC9:AC21" si="3">AA9-AB9</f>
        <v>100662.2378714821</v>
      </c>
      <c r="AD9" s="25">
        <v>-3484.57</v>
      </c>
      <c r="AE9" s="7">
        <v>-11418.79</v>
      </c>
      <c r="AF9" s="7">
        <v>-32932.839999999997</v>
      </c>
      <c r="AG9" s="7">
        <f t="shared" ref="AG9:AG22" si="4">AE9+AF9</f>
        <v>-44351.63</v>
      </c>
      <c r="AH9" s="7">
        <v>-2961.33</v>
      </c>
      <c r="AI9" s="7"/>
      <c r="AJ9" s="7">
        <v>-1781.96</v>
      </c>
      <c r="AK9" s="10">
        <f t="shared" ref="AK9:AK21" si="5">AC9+AD9+AG9+AH9+AI9+AJ9</f>
        <v>48082.74787148209</v>
      </c>
    </row>
    <row r="10" spans="1:38" ht="18.75" x14ac:dyDescent="0.3">
      <c r="A10" s="19" t="s">
        <v>192</v>
      </c>
      <c r="B10" s="8">
        <v>16330.27</v>
      </c>
      <c r="C10" s="8">
        <v>11816.51</v>
      </c>
      <c r="D10" s="8">
        <v>42.5</v>
      </c>
      <c r="E10" s="8">
        <v>17814.84</v>
      </c>
      <c r="F10" s="8">
        <v>16289.38</v>
      </c>
      <c r="G10" s="8"/>
      <c r="H10" s="8">
        <v>17814.84</v>
      </c>
      <c r="I10" s="8">
        <v>16439.330000000002</v>
      </c>
      <c r="J10" s="8">
        <v>19967.599999999999</v>
      </c>
      <c r="K10" s="8">
        <v>17815.2</v>
      </c>
      <c r="L10" s="8">
        <v>26756.65</v>
      </c>
      <c r="M10" s="8">
        <v>2014.13</v>
      </c>
      <c r="N10" s="8">
        <f t="shared" si="1"/>
        <v>69775.149999999994</v>
      </c>
      <c r="O10" s="8">
        <f t="shared" si="1"/>
        <v>71301.87</v>
      </c>
      <c r="P10" s="8">
        <f t="shared" si="1"/>
        <v>22024.23</v>
      </c>
      <c r="Q10" s="7">
        <v>353847.83120000002</v>
      </c>
      <c r="R10" s="7">
        <v>335844.15061689133</v>
      </c>
      <c r="S10" s="7">
        <v>326489.84736758727</v>
      </c>
      <c r="T10" s="8">
        <f t="shared" si="2"/>
        <v>423622.98120000004</v>
      </c>
      <c r="U10" s="8">
        <f t="shared" si="2"/>
        <v>407146.02061689133</v>
      </c>
      <c r="V10" s="8">
        <f t="shared" si="2"/>
        <v>348514.07736758725</v>
      </c>
      <c r="W10" s="7">
        <v>115439.03999999999</v>
      </c>
      <c r="X10" s="8">
        <v>153729.19</v>
      </c>
      <c r="Y10" s="7">
        <v>103659.01</v>
      </c>
      <c r="Z10" s="8">
        <f t="shared" si="0"/>
        <v>539062.02120000008</v>
      </c>
      <c r="AA10" s="8">
        <f t="shared" si="0"/>
        <v>560875.21061689127</v>
      </c>
      <c r="AB10" s="8">
        <f t="shared" si="0"/>
        <v>452173.08736758726</v>
      </c>
      <c r="AC10" s="10">
        <f t="shared" si="3"/>
        <v>108702.12324930402</v>
      </c>
      <c r="AD10" s="25">
        <v>-4071.46</v>
      </c>
      <c r="AE10" s="7">
        <v>-1470.14</v>
      </c>
      <c r="AF10" s="7">
        <v>-557.89</v>
      </c>
      <c r="AG10" s="7">
        <f t="shared" si="4"/>
        <v>-2028.0300000000002</v>
      </c>
      <c r="AH10" s="7"/>
      <c r="AI10" s="7"/>
      <c r="AJ10" s="7">
        <v>-2061.4699999999998</v>
      </c>
      <c r="AK10" s="10">
        <f t="shared" si="5"/>
        <v>100541.16324930401</v>
      </c>
    </row>
    <row r="11" spans="1:38" ht="18.75" x14ac:dyDescent="0.3">
      <c r="A11" s="19" t="s">
        <v>193</v>
      </c>
      <c r="B11" s="8">
        <v>29845.66</v>
      </c>
      <c r="C11" s="8">
        <v>25773.03</v>
      </c>
      <c r="D11" s="8">
        <v>705.56</v>
      </c>
      <c r="E11" s="8">
        <v>42012.72</v>
      </c>
      <c r="F11" s="8">
        <v>41998.39</v>
      </c>
      <c r="G11" s="8">
        <v>65509.18</v>
      </c>
      <c r="H11" s="8">
        <v>42012.72</v>
      </c>
      <c r="I11" s="8">
        <v>45263.38</v>
      </c>
      <c r="J11" s="8">
        <v>28954.720000000001</v>
      </c>
      <c r="K11" s="8">
        <v>42012.77</v>
      </c>
      <c r="L11" s="8">
        <v>41197.879999999997</v>
      </c>
      <c r="M11" s="8">
        <v>5645.21</v>
      </c>
      <c r="N11" s="8">
        <f t="shared" si="1"/>
        <v>155883.87</v>
      </c>
      <c r="O11" s="8">
        <f t="shared" si="1"/>
        <v>154232.68</v>
      </c>
      <c r="P11" s="8">
        <f t="shared" si="1"/>
        <v>100814.67000000001</v>
      </c>
      <c r="Q11" s="7">
        <v>443139.92200000002</v>
      </c>
      <c r="R11" s="7">
        <v>428688.78950868995</v>
      </c>
      <c r="S11" s="7">
        <v>406733.22064382851</v>
      </c>
      <c r="T11" s="8">
        <f t="shared" si="2"/>
        <v>599023.79200000002</v>
      </c>
      <c r="U11" s="8">
        <f t="shared" si="2"/>
        <v>582921.46950868994</v>
      </c>
      <c r="V11" s="8">
        <f t="shared" si="2"/>
        <v>507547.89064382855</v>
      </c>
      <c r="W11" s="7">
        <v>168574.44</v>
      </c>
      <c r="X11" s="8">
        <v>162219.89000000001</v>
      </c>
      <c r="Y11" s="7">
        <v>173914.22</v>
      </c>
      <c r="Z11" s="8">
        <f t="shared" si="0"/>
        <v>767598.23200000008</v>
      </c>
      <c r="AA11" s="8">
        <f t="shared" si="0"/>
        <v>745141.35950868996</v>
      </c>
      <c r="AB11" s="8">
        <f t="shared" si="0"/>
        <v>681462.11064382852</v>
      </c>
      <c r="AC11" s="10">
        <f t="shared" si="3"/>
        <v>63679.248864861438</v>
      </c>
      <c r="AD11" s="25">
        <v>-5829.21</v>
      </c>
      <c r="AE11" s="7">
        <v>-915.46</v>
      </c>
      <c r="AF11" s="7">
        <v>-1586.35</v>
      </c>
      <c r="AG11" s="7">
        <f t="shared" si="4"/>
        <v>-2501.81</v>
      </c>
      <c r="AH11" s="7">
        <v>-585.95000000000005</v>
      </c>
      <c r="AI11" s="7"/>
      <c r="AJ11" s="7">
        <v>-2442.77</v>
      </c>
      <c r="AK11" s="10">
        <f t="shared" si="5"/>
        <v>52319.508864861447</v>
      </c>
    </row>
    <row r="12" spans="1:38" ht="18.75" x14ac:dyDescent="0.3">
      <c r="A12" s="19" t="s">
        <v>194</v>
      </c>
      <c r="B12" s="8">
        <v>29800.91</v>
      </c>
      <c r="C12" s="8">
        <v>26378.36</v>
      </c>
      <c r="D12" s="8">
        <v>624.66</v>
      </c>
      <c r="E12" s="8">
        <v>41949.72</v>
      </c>
      <c r="F12" s="8">
        <v>42024.97</v>
      </c>
      <c r="G12" s="8">
        <v>2607.23</v>
      </c>
      <c r="H12" s="8">
        <v>41949.72</v>
      </c>
      <c r="I12" s="8">
        <v>43018.51</v>
      </c>
      <c r="J12" s="8">
        <v>39841.74</v>
      </c>
      <c r="K12" s="8">
        <v>41949.74</v>
      </c>
      <c r="L12" s="8">
        <v>40650.050000000003</v>
      </c>
      <c r="M12" s="8">
        <v>12862.54</v>
      </c>
      <c r="N12" s="8">
        <f t="shared" si="1"/>
        <v>155650.09</v>
      </c>
      <c r="O12" s="8">
        <f t="shared" si="1"/>
        <v>152071.89000000001</v>
      </c>
      <c r="P12" s="8">
        <f t="shared" si="1"/>
        <v>55936.17</v>
      </c>
      <c r="Q12" s="7">
        <v>441399.62599999999</v>
      </c>
      <c r="R12" s="7">
        <v>420295.25994525151</v>
      </c>
      <c r="S12" s="7">
        <v>414184.43456739531</v>
      </c>
      <c r="T12" s="8">
        <f t="shared" si="2"/>
        <v>597049.71600000001</v>
      </c>
      <c r="U12" s="8">
        <f t="shared" si="2"/>
        <v>572367.14994525153</v>
      </c>
      <c r="V12" s="8">
        <f t="shared" si="2"/>
        <v>470120.60456739529</v>
      </c>
      <c r="W12" s="7">
        <v>168764.84</v>
      </c>
      <c r="X12" s="8">
        <v>158356.81</v>
      </c>
      <c r="Y12" s="7">
        <v>157202.07</v>
      </c>
      <c r="Z12" s="8">
        <f t="shared" si="0"/>
        <v>765814.55599999998</v>
      </c>
      <c r="AA12" s="8">
        <f t="shared" si="0"/>
        <v>730723.95994525147</v>
      </c>
      <c r="AB12" s="8">
        <f t="shared" si="0"/>
        <v>627322.67456739536</v>
      </c>
      <c r="AC12" s="10">
        <f t="shared" si="3"/>
        <v>103401.28537785611</v>
      </c>
      <c r="AD12" s="25">
        <v>-5723.67</v>
      </c>
      <c r="AE12" s="7">
        <v>-427.06</v>
      </c>
      <c r="AF12" s="7"/>
      <c r="AG12" s="7">
        <f t="shared" si="4"/>
        <v>-427.06</v>
      </c>
      <c r="AH12" s="7"/>
      <c r="AI12" s="7"/>
      <c r="AJ12" s="7">
        <v>-2439.1</v>
      </c>
      <c r="AK12" s="10">
        <f t="shared" si="5"/>
        <v>94811.455377856109</v>
      </c>
    </row>
    <row r="13" spans="1:38" ht="18.75" x14ac:dyDescent="0.3">
      <c r="A13" s="19" t="s">
        <v>195</v>
      </c>
      <c r="B13" s="8">
        <v>24391.86</v>
      </c>
      <c r="C13" s="8">
        <v>17830.330000000002</v>
      </c>
      <c r="D13" s="8">
        <v>12004</v>
      </c>
      <c r="E13" s="8">
        <v>34360.32</v>
      </c>
      <c r="F13" s="8">
        <v>29906.15</v>
      </c>
      <c r="G13" s="8">
        <v>6520.36</v>
      </c>
      <c r="H13" s="8">
        <v>58903.41</v>
      </c>
      <c r="I13" s="8">
        <v>51876.25</v>
      </c>
      <c r="J13" s="8">
        <v>21158.66</v>
      </c>
      <c r="K13" s="8">
        <v>34360.32</v>
      </c>
      <c r="L13" s="8">
        <v>30927.08</v>
      </c>
      <c r="M13" s="8">
        <v>1370.77</v>
      </c>
      <c r="N13" s="8">
        <f t="shared" si="1"/>
        <v>152015.91</v>
      </c>
      <c r="O13" s="8">
        <f t="shared" si="1"/>
        <v>130539.81000000001</v>
      </c>
      <c r="P13" s="8">
        <f t="shared" si="1"/>
        <v>41053.79</v>
      </c>
      <c r="Q13" s="7">
        <v>348234.88</v>
      </c>
      <c r="R13" s="7">
        <v>291971.00903339882</v>
      </c>
      <c r="S13" s="7">
        <v>328599.98835004616</v>
      </c>
      <c r="T13" s="8">
        <f t="shared" si="2"/>
        <v>500250.79000000004</v>
      </c>
      <c r="U13" s="8">
        <f t="shared" si="2"/>
        <v>422510.81903339882</v>
      </c>
      <c r="V13" s="8">
        <f t="shared" si="2"/>
        <v>369653.77835004614</v>
      </c>
      <c r="W13" s="7">
        <v>139202.78</v>
      </c>
      <c r="X13" s="8">
        <v>132899.51</v>
      </c>
      <c r="Y13" s="7">
        <v>113275.95</v>
      </c>
      <c r="Z13" s="8">
        <f t="shared" si="0"/>
        <v>639453.57000000007</v>
      </c>
      <c r="AA13" s="8">
        <f t="shared" si="0"/>
        <v>555410.32903339877</v>
      </c>
      <c r="AB13" s="8">
        <f t="shared" si="0"/>
        <v>482929.72835004615</v>
      </c>
      <c r="AC13" s="10">
        <f t="shared" si="3"/>
        <v>72480.600683352619</v>
      </c>
      <c r="AD13" s="25">
        <v>-4225.1099999999997</v>
      </c>
      <c r="AE13" s="7">
        <v>-15170.37</v>
      </c>
      <c r="AF13" s="7">
        <v>-29747.919999999998</v>
      </c>
      <c r="AG13" s="7">
        <f t="shared" si="4"/>
        <v>-44918.29</v>
      </c>
      <c r="AH13" s="7">
        <v>-2043.88</v>
      </c>
      <c r="AI13" s="7"/>
      <c r="AJ13" s="7">
        <v>-2002.36</v>
      </c>
      <c r="AK13" s="10">
        <f t="shared" si="5"/>
        <v>19290.960683352616</v>
      </c>
    </row>
    <row r="14" spans="1:38" ht="18.75" x14ac:dyDescent="0.3">
      <c r="A14" s="19" t="s">
        <v>196</v>
      </c>
      <c r="B14" s="8">
        <v>32108.26</v>
      </c>
      <c r="C14" s="8">
        <v>22909.279999999999</v>
      </c>
      <c r="D14" s="8">
        <v>624.66</v>
      </c>
      <c r="E14" s="8">
        <v>37139.519999999997</v>
      </c>
      <c r="F14" s="8">
        <v>30307.99</v>
      </c>
      <c r="G14" s="8">
        <v>79887.5</v>
      </c>
      <c r="H14" s="8">
        <v>37191.29</v>
      </c>
      <c r="I14" s="8">
        <v>37985.4</v>
      </c>
      <c r="J14" s="8">
        <v>5147.76</v>
      </c>
      <c r="K14" s="8">
        <v>37128.480000000003</v>
      </c>
      <c r="L14" s="8">
        <v>28218.560000000001</v>
      </c>
      <c r="M14" s="8"/>
      <c r="N14" s="8">
        <f t="shared" si="1"/>
        <v>143567.55000000002</v>
      </c>
      <c r="O14" s="8">
        <f t="shared" si="1"/>
        <v>119421.23000000001</v>
      </c>
      <c r="P14" s="8">
        <f t="shared" si="1"/>
        <v>85659.92</v>
      </c>
      <c r="Q14" s="7">
        <v>384046.83999999997</v>
      </c>
      <c r="R14" s="7">
        <v>305844.82305993501</v>
      </c>
      <c r="S14" s="7">
        <v>371215.65852447238</v>
      </c>
      <c r="T14" s="8">
        <f t="shared" si="2"/>
        <v>527614.39</v>
      </c>
      <c r="U14" s="8">
        <f t="shared" si="2"/>
        <v>425266.05305993499</v>
      </c>
      <c r="V14" s="8">
        <f t="shared" si="2"/>
        <v>456875.57852447237</v>
      </c>
      <c r="W14" s="7">
        <v>148908.82</v>
      </c>
      <c r="X14" s="8">
        <v>109622.22</v>
      </c>
      <c r="Y14" s="7">
        <v>146425.62</v>
      </c>
      <c r="Z14" s="8">
        <f t="shared" si="0"/>
        <v>676523.21</v>
      </c>
      <c r="AA14" s="8">
        <f t="shared" si="0"/>
        <v>534888.27305993496</v>
      </c>
      <c r="AB14" s="8">
        <f t="shared" si="0"/>
        <v>603301.1985244723</v>
      </c>
      <c r="AC14" s="10">
        <f t="shared" si="3"/>
        <v>-68412.925464537344</v>
      </c>
      <c r="AD14" s="25">
        <v>-4252.66</v>
      </c>
      <c r="AE14" s="7">
        <v>-20993.17</v>
      </c>
      <c r="AF14" s="7">
        <v>-14441.86</v>
      </c>
      <c r="AG14" s="7">
        <f t="shared" si="4"/>
        <v>-35435.03</v>
      </c>
      <c r="AH14" s="7"/>
      <c r="AI14" s="7"/>
      <c r="AJ14" s="7">
        <v>-2180.37</v>
      </c>
      <c r="AK14" s="10">
        <f t="shared" si="5"/>
        <v>-110280.98546453734</v>
      </c>
    </row>
    <row r="15" spans="1:38" ht="18.75" x14ac:dyDescent="0.3">
      <c r="A15" s="19" t="s">
        <v>197</v>
      </c>
      <c r="B15" s="8">
        <v>20305.18</v>
      </c>
      <c r="C15" s="8">
        <v>11576.37</v>
      </c>
      <c r="D15" s="8">
        <v>941.98</v>
      </c>
      <c r="E15" s="8">
        <v>37414.559999999998</v>
      </c>
      <c r="F15" s="8">
        <v>29740.87</v>
      </c>
      <c r="G15" s="8">
        <v>66685.87</v>
      </c>
      <c r="H15" s="8">
        <v>37414.559999999998</v>
      </c>
      <c r="I15" s="8">
        <v>36193.39</v>
      </c>
      <c r="J15" s="8">
        <v>36134.99</v>
      </c>
      <c r="K15" s="8">
        <v>37424.639999999999</v>
      </c>
      <c r="L15" s="8">
        <v>32644.38</v>
      </c>
      <c r="M15" s="8"/>
      <c r="N15" s="8">
        <f t="shared" si="1"/>
        <v>132558.94</v>
      </c>
      <c r="O15" s="8">
        <f t="shared" si="1"/>
        <v>110155.01000000001</v>
      </c>
      <c r="P15" s="8">
        <f t="shared" si="1"/>
        <v>103762.84</v>
      </c>
      <c r="Q15" s="7">
        <v>384197.48999999993</v>
      </c>
      <c r="R15" s="7">
        <v>307092.37984358351</v>
      </c>
      <c r="S15" s="7">
        <v>362726.408364159</v>
      </c>
      <c r="T15" s="8">
        <f t="shared" si="2"/>
        <v>516756.42999999993</v>
      </c>
      <c r="U15" s="8">
        <f t="shared" si="2"/>
        <v>417247.38984358351</v>
      </c>
      <c r="V15" s="8">
        <f t="shared" si="2"/>
        <v>466489.24836415902</v>
      </c>
      <c r="W15" s="7">
        <v>148853.29</v>
      </c>
      <c r="X15" s="8">
        <v>121158.41</v>
      </c>
      <c r="Y15" s="7">
        <v>133642.06</v>
      </c>
      <c r="Z15" s="8">
        <f t="shared" si="0"/>
        <v>665609.72</v>
      </c>
      <c r="AA15" s="8">
        <f t="shared" si="0"/>
        <v>538405.79984358349</v>
      </c>
      <c r="AB15" s="8">
        <f t="shared" si="0"/>
        <v>600131.30836415896</v>
      </c>
      <c r="AC15" s="10">
        <f t="shared" si="3"/>
        <v>-61725.508520575473</v>
      </c>
      <c r="AD15" s="25">
        <v>-4172.47</v>
      </c>
      <c r="AE15" s="7">
        <v>-24396.86</v>
      </c>
      <c r="AF15" s="7">
        <v>-47418.74</v>
      </c>
      <c r="AG15" s="7">
        <f t="shared" si="4"/>
        <v>-71815.600000000006</v>
      </c>
      <c r="AH15" s="7">
        <v>-1880.39</v>
      </c>
      <c r="AI15" s="7"/>
      <c r="AJ15" s="7">
        <v>-2197.7600000000002</v>
      </c>
      <c r="AK15" s="10">
        <f t="shared" si="5"/>
        <v>-141791.7285205755</v>
      </c>
    </row>
    <row r="16" spans="1:38" ht="18.75" x14ac:dyDescent="0.3">
      <c r="A16" s="19" t="s">
        <v>198</v>
      </c>
      <c r="B16" s="8">
        <v>20236.669999999998</v>
      </c>
      <c r="C16" s="8">
        <v>13609.13</v>
      </c>
      <c r="D16" s="8">
        <v>17233.64</v>
      </c>
      <c r="E16" s="8">
        <v>37280.639999999999</v>
      </c>
      <c r="F16" s="94">
        <v>29030.43</v>
      </c>
      <c r="G16" s="8">
        <v>70054.759999999995</v>
      </c>
      <c r="H16" s="8">
        <v>37280.639999999999</v>
      </c>
      <c r="I16" s="8">
        <v>32114.6</v>
      </c>
      <c r="J16" s="8">
        <v>30852.89</v>
      </c>
      <c r="K16" s="8">
        <v>37289.760000000002</v>
      </c>
      <c r="L16" s="8">
        <v>31238.65</v>
      </c>
      <c r="M16" s="8"/>
      <c r="N16" s="8">
        <f t="shared" si="1"/>
        <v>132087.71</v>
      </c>
      <c r="O16" s="8">
        <f t="shared" si="1"/>
        <v>105992.81</v>
      </c>
      <c r="P16" s="8">
        <f t="shared" si="1"/>
        <v>118141.29</v>
      </c>
      <c r="Q16" s="7">
        <v>382730.54999999993</v>
      </c>
      <c r="R16" s="7">
        <v>298900.07797904208</v>
      </c>
      <c r="S16" s="7">
        <v>384732.47222971497</v>
      </c>
      <c r="T16" s="8">
        <f t="shared" si="2"/>
        <v>514818.25999999989</v>
      </c>
      <c r="U16" s="8">
        <f t="shared" si="2"/>
        <v>404892.88797904208</v>
      </c>
      <c r="V16" s="8">
        <f t="shared" si="2"/>
        <v>502873.76222971495</v>
      </c>
      <c r="W16" s="7">
        <v>149235.98000000001</v>
      </c>
      <c r="X16" s="8">
        <v>136514.14000000001</v>
      </c>
      <c r="Y16" s="7">
        <v>113809.85</v>
      </c>
      <c r="Z16" s="8">
        <f t="shared" si="0"/>
        <v>664054.23999999987</v>
      </c>
      <c r="AA16" s="8">
        <f t="shared" si="0"/>
        <v>541407.02797904215</v>
      </c>
      <c r="AB16" s="8">
        <f t="shared" si="0"/>
        <v>616683.61222971499</v>
      </c>
      <c r="AC16" s="10">
        <f t="shared" si="3"/>
        <v>-75276.584250672837</v>
      </c>
      <c r="AD16" s="25">
        <v>-4048.93</v>
      </c>
      <c r="AE16" s="7">
        <v>-26621.95</v>
      </c>
      <c r="AF16" s="7">
        <v>-60965.45</v>
      </c>
      <c r="AG16" s="7">
        <f t="shared" si="4"/>
        <v>-87587.4</v>
      </c>
      <c r="AH16" s="7">
        <v>-2910.03</v>
      </c>
      <c r="AI16" s="7"/>
      <c r="AJ16" s="7">
        <v>-2189.84</v>
      </c>
      <c r="AK16" s="10">
        <f t="shared" si="5"/>
        <v>-172012.78425067282</v>
      </c>
    </row>
    <row r="17" spans="1:37" ht="18.75" x14ac:dyDescent="0.3">
      <c r="A17" s="19" t="s">
        <v>199</v>
      </c>
      <c r="B17" s="8">
        <v>218269.75</v>
      </c>
      <c r="C17" s="8">
        <v>179683.05</v>
      </c>
      <c r="D17" s="8">
        <v>189602</v>
      </c>
      <c r="E17" s="8">
        <v>203701.5</v>
      </c>
      <c r="F17" s="8">
        <v>192827.12</v>
      </c>
      <c r="G17" s="8">
        <v>15691.95</v>
      </c>
      <c r="H17" s="8">
        <v>152016</v>
      </c>
      <c r="I17" s="8">
        <v>153804.75</v>
      </c>
      <c r="J17" s="8">
        <v>52553.33</v>
      </c>
      <c r="K17" s="8">
        <v>152016</v>
      </c>
      <c r="L17" s="8">
        <v>145996.44</v>
      </c>
      <c r="M17" s="8">
        <v>23262.81</v>
      </c>
      <c r="N17" s="8">
        <f t="shared" si="1"/>
        <v>726003.25</v>
      </c>
      <c r="O17" s="8">
        <f t="shared" si="1"/>
        <v>672311.35999999987</v>
      </c>
      <c r="P17" s="8">
        <f t="shared" si="1"/>
        <v>281110.09000000003</v>
      </c>
      <c r="Q17" s="7">
        <v>1887232.8199999998</v>
      </c>
      <c r="R17" s="7">
        <v>1680754.277574844</v>
      </c>
      <c r="S17" s="7">
        <v>2096925.3431260153</v>
      </c>
      <c r="T17" s="8">
        <f t="shared" si="2"/>
        <v>2613236.0699999998</v>
      </c>
      <c r="U17" s="8">
        <f t="shared" si="2"/>
        <v>2353065.6375748441</v>
      </c>
      <c r="V17" s="8">
        <f t="shared" si="2"/>
        <v>2378035.4331260151</v>
      </c>
      <c r="W17" s="7">
        <v>717305.56</v>
      </c>
      <c r="X17" s="8">
        <v>694448.76</v>
      </c>
      <c r="Y17" s="7">
        <v>779742.49</v>
      </c>
      <c r="Z17" s="8">
        <f t="shared" si="0"/>
        <v>3330541.63</v>
      </c>
      <c r="AA17" s="8">
        <f t="shared" si="0"/>
        <v>3047514.3975748438</v>
      </c>
      <c r="AB17" s="8">
        <f t="shared" si="0"/>
        <v>3157777.9231260149</v>
      </c>
      <c r="AC17" s="10">
        <f t="shared" si="3"/>
        <v>-110263.52555117104</v>
      </c>
      <c r="AD17" s="25">
        <v>-23530.66</v>
      </c>
      <c r="AE17" s="7">
        <v>-35144.51</v>
      </c>
      <c r="AF17" s="7">
        <v>-41939.980000000003</v>
      </c>
      <c r="AG17" s="7">
        <f t="shared" si="4"/>
        <v>-77084.490000000005</v>
      </c>
      <c r="AH17" s="7">
        <v>-5355.67</v>
      </c>
      <c r="AI17" s="7"/>
      <c r="AJ17" s="7">
        <v>-8927.1200000000008</v>
      </c>
      <c r="AK17" s="10">
        <f t="shared" si="5"/>
        <v>-225161.46555117107</v>
      </c>
    </row>
    <row r="18" spans="1:37" ht="18.75" x14ac:dyDescent="0.3">
      <c r="A18" s="19" t="s">
        <v>200</v>
      </c>
      <c r="B18" s="8">
        <v>114199.24</v>
      </c>
      <c r="C18" s="8">
        <v>88525.57</v>
      </c>
      <c r="D18" s="8">
        <v>106350.82</v>
      </c>
      <c r="E18" s="8">
        <v>231688.8</v>
      </c>
      <c r="F18" s="8">
        <v>214019.64</v>
      </c>
      <c r="G18" s="8">
        <v>154536</v>
      </c>
      <c r="H18" s="8">
        <v>231688.8</v>
      </c>
      <c r="I18" s="8">
        <v>231315.32</v>
      </c>
      <c r="J18" s="8">
        <v>254239.96</v>
      </c>
      <c r="K18" s="8">
        <v>157677.1</v>
      </c>
      <c r="L18" s="8">
        <v>147443.04</v>
      </c>
      <c r="M18" s="8">
        <v>199431.69</v>
      </c>
      <c r="N18" s="8">
        <f t="shared" si="1"/>
        <v>735253.94</v>
      </c>
      <c r="O18" s="8">
        <f t="shared" si="1"/>
        <v>681303.57000000007</v>
      </c>
      <c r="P18" s="8">
        <f t="shared" si="1"/>
        <v>714558.47</v>
      </c>
      <c r="Q18" s="7">
        <v>2075206.28</v>
      </c>
      <c r="R18" s="7">
        <v>1873631.8599469713</v>
      </c>
      <c r="S18" s="7">
        <v>1977047.0110417441</v>
      </c>
      <c r="T18" s="8">
        <f t="shared" si="2"/>
        <v>2810460.2199999997</v>
      </c>
      <c r="U18" s="8">
        <f t="shared" si="2"/>
        <v>2554935.4299469711</v>
      </c>
      <c r="V18" s="8">
        <f t="shared" si="2"/>
        <v>2691605.4810417444</v>
      </c>
      <c r="W18" s="7">
        <v>808210.97</v>
      </c>
      <c r="X18" s="8">
        <v>707371.87</v>
      </c>
      <c r="Y18" s="7">
        <v>1439808.74</v>
      </c>
      <c r="Z18" s="8">
        <f t="shared" si="0"/>
        <v>3618671.1899999995</v>
      </c>
      <c r="AA18" s="8">
        <f t="shared" si="0"/>
        <v>3262307.2999469712</v>
      </c>
      <c r="AB18" s="8">
        <f t="shared" si="0"/>
        <v>4131414.2210417446</v>
      </c>
      <c r="AC18" s="10">
        <f t="shared" si="3"/>
        <v>-869106.92109477334</v>
      </c>
      <c r="AD18" s="25">
        <v>-25549.35</v>
      </c>
      <c r="AE18" s="7">
        <v>-35746.9</v>
      </c>
      <c r="AF18" s="7">
        <v>-37921.300000000003</v>
      </c>
      <c r="AG18" s="7">
        <f t="shared" si="4"/>
        <v>-73668.200000000012</v>
      </c>
      <c r="AH18" s="7">
        <v>-3270.73</v>
      </c>
      <c r="AI18" s="7"/>
      <c r="AJ18" s="7">
        <v>-9070.6</v>
      </c>
      <c r="AK18" s="10">
        <f t="shared" si="5"/>
        <v>-980665.80109477334</v>
      </c>
    </row>
    <row r="19" spans="1:37" ht="18.75" x14ac:dyDescent="0.3">
      <c r="A19" s="19" t="s">
        <v>201</v>
      </c>
      <c r="B19" s="8">
        <v>79798.95</v>
      </c>
      <c r="C19" s="8">
        <v>50329.56</v>
      </c>
      <c r="D19" s="8">
        <v>8643.9500000000007</v>
      </c>
      <c r="E19" s="8">
        <v>156340.79999999999</v>
      </c>
      <c r="F19" s="8">
        <v>123093.84</v>
      </c>
      <c r="G19" s="8">
        <v>9199.86</v>
      </c>
      <c r="H19" s="8">
        <v>156340.79999999999</v>
      </c>
      <c r="I19" s="8">
        <v>150219.65</v>
      </c>
      <c r="J19" s="8">
        <v>46717.57</v>
      </c>
      <c r="K19" s="8">
        <v>156340.79999999999</v>
      </c>
      <c r="L19" s="8">
        <v>137260.07</v>
      </c>
      <c r="M19" s="8">
        <v>32991.22</v>
      </c>
      <c r="N19" s="8">
        <f t="shared" si="1"/>
        <v>548821.35</v>
      </c>
      <c r="O19" s="8">
        <f t="shared" si="1"/>
        <v>460903.12</v>
      </c>
      <c r="P19" s="8">
        <f t="shared" si="1"/>
        <v>97552.6</v>
      </c>
      <c r="Q19" s="7">
        <v>1972785.78</v>
      </c>
      <c r="R19" s="7">
        <v>1582231.5404558971</v>
      </c>
      <c r="S19" s="7">
        <v>1965553.6942695749</v>
      </c>
      <c r="T19" s="8">
        <f t="shared" si="2"/>
        <v>2521607.13</v>
      </c>
      <c r="U19" s="8">
        <f t="shared" si="2"/>
        <v>2043134.660455897</v>
      </c>
      <c r="V19" s="8">
        <f t="shared" si="2"/>
        <v>2063106.294269575</v>
      </c>
      <c r="W19" s="7">
        <v>718592.97</v>
      </c>
      <c r="X19" s="8">
        <v>564950.6</v>
      </c>
      <c r="Y19" s="7">
        <v>958656.4</v>
      </c>
      <c r="Z19" s="8">
        <f t="shared" si="0"/>
        <v>3240200.0999999996</v>
      </c>
      <c r="AA19" s="8">
        <f t="shared" si="0"/>
        <v>2608085.2604558971</v>
      </c>
      <c r="AB19" s="8">
        <f t="shared" si="0"/>
        <v>3021762.6942695752</v>
      </c>
      <c r="AC19" s="10">
        <f t="shared" si="3"/>
        <v>-413677.4338136781</v>
      </c>
      <c r="AD19" s="25">
        <v>-20431.349999999999</v>
      </c>
      <c r="AE19" s="7">
        <v>-83529.94</v>
      </c>
      <c r="AF19" s="7">
        <v>-84324.800000000003</v>
      </c>
      <c r="AG19" s="7">
        <f t="shared" si="4"/>
        <v>-167854.74</v>
      </c>
      <c r="AH19" s="7">
        <v>-9252.0300000000007</v>
      </c>
      <c r="AI19" s="7"/>
      <c r="AJ19" s="7">
        <v>-9181.09</v>
      </c>
      <c r="AK19" s="10">
        <f t="shared" si="5"/>
        <v>-620396.64381367806</v>
      </c>
    </row>
    <row r="20" spans="1:37" ht="18.75" x14ac:dyDescent="0.3">
      <c r="A20" s="19" t="s">
        <v>202</v>
      </c>
      <c r="B20" s="8">
        <v>40293.199999999997</v>
      </c>
      <c r="C20" s="8">
        <v>29086.22</v>
      </c>
      <c r="D20" s="8">
        <v>6070.38</v>
      </c>
      <c r="E20" s="8">
        <v>69321.600000000006</v>
      </c>
      <c r="F20" s="8">
        <v>62572.36</v>
      </c>
      <c r="G20" s="8">
        <v>1503.42</v>
      </c>
      <c r="H20" s="8">
        <v>69321.600000000006</v>
      </c>
      <c r="I20" s="8">
        <v>69252.759999999995</v>
      </c>
      <c r="J20" s="8">
        <v>9105.27</v>
      </c>
      <c r="K20" s="8">
        <v>69321.600000000006</v>
      </c>
      <c r="L20" s="8">
        <v>58766.74</v>
      </c>
      <c r="M20" s="8">
        <v>34375.65</v>
      </c>
      <c r="N20" s="8">
        <f t="shared" si="1"/>
        <v>248258.00000000003</v>
      </c>
      <c r="O20" s="8">
        <f t="shared" si="1"/>
        <v>219678.07999999999</v>
      </c>
      <c r="P20" s="8">
        <f t="shared" si="1"/>
        <v>51054.720000000001</v>
      </c>
      <c r="Q20" s="7">
        <v>884641.04</v>
      </c>
      <c r="R20" s="7">
        <v>760939.53962836554</v>
      </c>
      <c r="S20" s="7">
        <v>866956.84544982354</v>
      </c>
      <c r="T20" s="8">
        <f t="shared" si="2"/>
        <v>1132899.04</v>
      </c>
      <c r="U20" s="8">
        <f t="shared" si="2"/>
        <v>980617.6196283655</v>
      </c>
      <c r="V20" s="8">
        <f t="shared" si="2"/>
        <v>918011.56544982351</v>
      </c>
      <c r="W20" s="7">
        <v>317889.98</v>
      </c>
      <c r="X20" s="8">
        <v>280514.90999999997</v>
      </c>
      <c r="Y20" s="7">
        <v>293571.28999999998</v>
      </c>
      <c r="Z20" s="8">
        <f t="shared" si="0"/>
        <v>1450789.02</v>
      </c>
      <c r="AA20" s="8">
        <f t="shared" si="0"/>
        <v>1261132.5296283655</v>
      </c>
      <c r="AB20" s="8">
        <f t="shared" si="0"/>
        <v>1211582.8554498234</v>
      </c>
      <c r="AC20" s="10">
        <f t="shared" si="3"/>
        <v>49549.674178542104</v>
      </c>
      <c r="AD20" s="25">
        <v>-9806.18</v>
      </c>
      <c r="AE20" s="7">
        <v>-26611.63</v>
      </c>
      <c r="AF20" s="7">
        <v>-27372.959999999999</v>
      </c>
      <c r="AG20" s="7">
        <f t="shared" si="4"/>
        <v>-53984.59</v>
      </c>
      <c r="AH20" s="7">
        <v>-1080.56</v>
      </c>
      <c r="AI20" s="7"/>
      <c r="AJ20" s="7">
        <v>-4070.9</v>
      </c>
      <c r="AK20" s="10">
        <f t="shared" si="5"/>
        <v>-19392.555821457892</v>
      </c>
    </row>
    <row r="21" spans="1:37" ht="18.75" x14ac:dyDescent="0.3">
      <c r="A21" s="19" t="s">
        <v>203</v>
      </c>
      <c r="B21" s="8">
        <v>40349</v>
      </c>
      <c r="C21" s="8">
        <v>29922.85</v>
      </c>
      <c r="D21" s="8">
        <v>1909.43</v>
      </c>
      <c r="E21" s="8">
        <v>69417.600000000006</v>
      </c>
      <c r="F21" s="8">
        <v>63417</v>
      </c>
      <c r="G21" s="8">
        <v>2794.44</v>
      </c>
      <c r="H21" s="8">
        <v>69417.600000000006</v>
      </c>
      <c r="I21" s="8">
        <v>67075.360000000001</v>
      </c>
      <c r="J21" s="8">
        <v>12825.96</v>
      </c>
      <c r="K21" s="8">
        <v>69326.399999999994</v>
      </c>
      <c r="L21" s="8">
        <v>58933.84</v>
      </c>
      <c r="M21" s="8">
        <v>23745.4</v>
      </c>
      <c r="N21" s="8">
        <f t="shared" si="1"/>
        <v>248510.6</v>
      </c>
      <c r="O21" s="8">
        <f t="shared" si="1"/>
        <v>219349.05000000002</v>
      </c>
      <c r="P21" s="8">
        <f t="shared" si="1"/>
        <v>41275.229999999996</v>
      </c>
      <c r="Q21" s="7">
        <v>870341.37</v>
      </c>
      <c r="R21" s="7">
        <v>748173.24251474417</v>
      </c>
      <c r="S21" s="7">
        <v>908929.36091724131</v>
      </c>
      <c r="T21" s="8">
        <f t="shared" si="2"/>
        <v>1118851.97</v>
      </c>
      <c r="U21" s="8">
        <f t="shared" si="2"/>
        <v>967522.29251474421</v>
      </c>
      <c r="V21" s="8">
        <f t="shared" si="2"/>
        <v>950204.59091724129</v>
      </c>
      <c r="W21" s="7">
        <v>319755.42</v>
      </c>
      <c r="X21" s="8">
        <v>307751.62</v>
      </c>
      <c r="Y21" s="7">
        <v>198482.94</v>
      </c>
      <c r="Z21" s="8">
        <f t="shared" si="0"/>
        <v>1438607.39</v>
      </c>
      <c r="AA21" s="8">
        <f t="shared" si="0"/>
        <v>1275273.9125147443</v>
      </c>
      <c r="AB21" s="8">
        <f t="shared" si="0"/>
        <v>1148687.5309172412</v>
      </c>
      <c r="AC21" s="10">
        <f t="shared" si="3"/>
        <v>126586.38159750309</v>
      </c>
      <c r="AD21" s="25">
        <v>-9675.2199999999993</v>
      </c>
      <c r="AE21" s="7">
        <v>-25423.59</v>
      </c>
      <c r="AF21" s="7">
        <v>-88248.95</v>
      </c>
      <c r="AG21" s="7">
        <f t="shared" si="4"/>
        <v>-113672.54</v>
      </c>
      <c r="AH21" s="7">
        <v>-2916.21</v>
      </c>
      <c r="AI21" s="7">
        <v>-10000</v>
      </c>
      <c r="AJ21" s="7">
        <v>-4071.18</v>
      </c>
      <c r="AK21" s="10">
        <f t="shared" si="5"/>
        <v>-13748.768402496906</v>
      </c>
    </row>
    <row r="22" spans="1:37" ht="18.75" x14ac:dyDescent="0.3">
      <c r="A22" s="19" t="s">
        <v>107</v>
      </c>
      <c r="B22" s="8">
        <f t="shared" ref="B22:M22" si="6">SUM(B8:B21)</f>
        <v>709115.48</v>
      </c>
      <c r="C22" s="8">
        <f t="shared" si="6"/>
        <v>538703.79999999993</v>
      </c>
      <c r="D22" s="8">
        <f t="shared" si="6"/>
        <v>345812.98</v>
      </c>
      <c r="E22" s="8">
        <f t="shared" si="6"/>
        <v>1039213.98</v>
      </c>
      <c r="F22" s="8">
        <f t="shared" si="6"/>
        <v>933889.54</v>
      </c>
      <c r="G22" s="8">
        <f t="shared" si="6"/>
        <v>539802.36</v>
      </c>
      <c r="H22" s="8">
        <f t="shared" si="6"/>
        <v>1012123.3400000001</v>
      </c>
      <c r="I22" s="8">
        <f t="shared" si="6"/>
        <v>992033.69</v>
      </c>
      <c r="J22" s="8">
        <f t="shared" si="6"/>
        <v>557500.44999999995</v>
      </c>
      <c r="K22" s="8">
        <f t="shared" si="6"/>
        <v>913498.97</v>
      </c>
      <c r="L22" s="8">
        <f t="shared" si="6"/>
        <v>830515.51000000013</v>
      </c>
      <c r="M22" s="8">
        <f t="shared" si="6"/>
        <v>342870.39</v>
      </c>
      <c r="N22" s="8">
        <f t="shared" si="1"/>
        <v>3673951.7699999996</v>
      </c>
      <c r="O22" s="8">
        <f t="shared" si="1"/>
        <v>3295142.54</v>
      </c>
      <c r="P22" s="8">
        <f t="shared" si="1"/>
        <v>1785986.1800000002</v>
      </c>
      <c r="Q22" s="7">
        <v>11041738.359200001</v>
      </c>
      <c r="R22" s="7">
        <v>9555017.5337475315</v>
      </c>
      <c r="S22" s="7">
        <v>10978143.454999998</v>
      </c>
      <c r="T22" s="8">
        <f t="shared" si="2"/>
        <v>14715690.1292</v>
      </c>
      <c r="U22" s="8">
        <f t="shared" si="2"/>
        <v>12850160.073747531</v>
      </c>
      <c r="V22" s="8">
        <f t="shared" si="2"/>
        <v>12764129.634999998</v>
      </c>
      <c r="W22" s="7">
        <f t="shared" ref="W22:AC22" si="7">SUM(W8:W21)</f>
        <v>4151269.6699999995</v>
      </c>
      <c r="X22" s="7">
        <f t="shared" si="7"/>
        <v>3756975.9200000004</v>
      </c>
      <c r="Y22" s="8">
        <f>SUM(Y8:Y21)</f>
        <v>4797264.6600000011</v>
      </c>
      <c r="Z22" s="8">
        <f t="shared" si="7"/>
        <v>18866959.799199998</v>
      </c>
      <c r="AA22" s="8">
        <f t="shared" si="7"/>
        <v>16607135.993747532</v>
      </c>
      <c r="AB22" s="8">
        <f t="shared" si="7"/>
        <v>17561394.295000002</v>
      </c>
      <c r="AC22" s="10">
        <f t="shared" si="7"/>
        <v>-954258.30125246849</v>
      </c>
      <c r="AD22" s="25">
        <f>SUM(AD8:AD21)</f>
        <v>-128501.6</v>
      </c>
      <c r="AE22" s="7">
        <f>SUM(AE8:AE21)</f>
        <v>-317919.55</v>
      </c>
      <c r="AF22" s="7">
        <f>SUM(AF8:AF21)</f>
        <v>-479240.47000000003</v>
      </c>
      <c r="AG22" s="7">
        <f t="shared" si="4"/>
        <v>-797160.02</v>
      </c>
      <c r="AH22" s="7">
        <f>SUM(AH8:AH21)</f>
        <v>-34186.51</v>
      </c>
      <c r="AI22" s="7">
        <v>-10000</v>
      </c>
      <c r="AJ22" s="7">
        <f>SUM(AJ8:AJ21)</f>
        <v>-54407.16</v>
      </c>
      <c r="AK22" s="10">
        <f>SUM(AK8:AK21)</f>
        <v>-1978513.5912524685</v>
      </c>
    </row>
  </sheetData>
  <mergeCells count="20">
    <mergeCell ref="AI6:AI7"/>
    <mergeCell ref="AJ6:AJ7"/>
    <mergeCell ref="AK6:AK7"/>
    <mergeCell ref="AF6:AF7"/>
    <mergeCell ref="Z5:AB6"/>
    <mergeCell ref="AC5:AC7"/>
    <mergeCell ref="AD5:AJ5"/>
    <mergeCell ref="A6:A7"/>
    <mergeCell ref="B6:D6"/>
    <mergeCell ref="E6:G6"/>
    <mergeCell ref="H6:J6"/>
    <mergeCell ref="K6:M6"/>
    <mergeCell ref="N6:P6"/>
    <mergeCell ref="Q6:S6"/>
    <mergeCell ref="T6:V6"/>
    <mergeCell ref="W6:Y6"/>
    <mergeCell ref="AD6:AD7"/>
    <mergeCell ref="AE6:AE7"/>
    <mergeCell ref="AG6:AG7"/>
    <mergeCell ref="AH6:AH7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M28"/>
  <sheetViews>
    <sheetView topLeftCell="AC10" workbookViewId="0">
      <selection activeCell="AM16" sqref="AM16"/>
    </sheetView>
  </sheetViews>
  <sheetFormatPr defaultRowHeight="15.75" x14ac:dyDescent="0.25"/>
  <cols>
    <col min="1" max="1" width="25.75" style="6" customWidth="1"/>
    <col min="2" max="2" width="13" style="6" customWidth="1"/>
    <col min="3" max="3" width="12.625" style="6" customWidth="1"/>
    <col min="4" max="4" width="14.125" style="6" customWidth="1"/>
    <col min="5" max="6" width="12.875" style="6" customWidth="1"/>
    <col min="7" max="7" width="14.25" style="6" customWidth="1"/>
    <col min="8" max="8" width="14.125" style="6" customWidth="1"/>
    <col min="9" max="9" width="12" style="6" customWidth="1"/>
    <col min="10" max="10" width="14.5" style="6" customWidth="1"/>
    <col min="11" max="11" width="13.5" style="6" customWidth="1"/>
    <col min="12" max="12" width="12.625" style="6" customWidth="1"/>
    <col min="13" max="14" width="13" style="6" customWidth="1"/>
    <col min="15" max="15" width="13.625" style="6" customWidth="1"/>
    <col min="16" max="16" width="13.5" style="6" customWidth="1"/>
    <col min="17" max="17" width="14.375" style="6" customWidth="1"/>
    <col min="18" max="18" width="12.25" style="6" customWidth="1"/>
    <col min="19" max="19" width="13.125" style="6" customWidth="1"/>
    <col min="20" max="20" width="15.25" style="6" customWidth="1"/>
    <col min="21" max="21" width="14.875" style="6" customWidth="1"/>
    <col min="22" max="22" width="14.375" style="6" customWidth="1"/>
    <col min="23" max="23" width="14.125" style="6" customWidth="1"/>
    <col min="24" max="24" width="14.25" style="6" customWidth="1"/>
    <col min="25" max="25" width="13.125" style="6" customWidth="1"/>
    <col min="26" max="26" width="16.5" style="6" customWidth="1"/>
    <col min="27" max="27" width="16.125" style="6" customWidth="1"/>
    <col min="28" max="28" width="14.125" style="6" customWidth="1"/>
    <col min="29" max="29" width="14.75" style="6" customWidth="1"/>
    <col min="30" max="30" width="14.875" style="6" customWidth="1"/>
    <col min="31" max="31" width="12.875" style="6" customWidth="1"/>
    <col min="32" max="32" width="11.75" style="6" customWidth="1"/>
    <col min="33" max="33" width="12.125" style="6" customWidth="1"/>
    <col min="34" max="34" width="11.625" style="6" customWidth="1"/>
    <col min="35" max="35" width="9.25" style="6" customWidth="1"/>
    <col min="36" max="36" width="11.75" style="6" customWidth="1"/>
    <col min="37" max="16384" width="9" style="6"/>
  </cols>
  <sheetData>
    <row r="4" spans="1:39" ht="19.5" x14ac:dyDescent="0.35">
      <c r="A4" s="13"/>
      <c r="AC4" s="14" t="s">
        <v>225</v>
      </c>
    </row>
    <row r="5" spans="1:39" ht="30" customHeight="1" x14ac:dyDescent="0.3">
      <c r="A5" s="50" t="s">
        <v>213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146" t="s">
        <v>49</v>
      </c>
      <c r="AA5" s="147"/>
      <c r="AB5" s="148"/>
      <c r="AC5" s="143" t="s">
        <v>274</v>
      </c>
      <c r="AD5" s="149" t="s">
        <v>50</v>
      </c>
      <c r="AE5" s="149"/>
      <c r="AF5" s="149"/>
      <c r="AG5" s="149"/>
      <c r="AH5" s="149"/>
      <c r="AI5" s="149"/>
      <c r="AJ5" s="136" t="s">
        <v>326</v>
      </c>
      <c r="AK5" s="36"/>
      <c r="AL5" s="95"/>
      <c r="AM5" s="95"/>
    </row>
    <row r="6" spans="1:39" ht="26.25" customHeight="1" x14ac:dyDescent="0.3">
      <c r="A6" s="153" t="s">
        <v>44</v>
      </c>
      <c r="B6" s="132" t="s">
        <v>268</v>
      </c>
      <c r="C6" s="132"/>
      <c r="D6" s="132"/>
      <c r="E6" s="132" t="s">
        <v>269</v>
      </c>
      <c r="F6" s="132"/>
      <c r="G6" s="132"/>
      <c r="H6" s="132" t="s">
        <v>270</v>
      </c>
      <c r="I6" s="132"/>
      <c r="J6" s="132"/>
      <c r="K6" s="146" t="s">
        <v>271</v>
      </c>
      <c r="L6" s="147"/>
      <c r="M6" s="148"/>
      <c r="N6" s="146" t="s">
        <v>321</v>
      </c>
      <c r="O6" s="147"/>
      <c r="P6" s="148"/>
      <c r="Q6" s="146" t="s">
        <v>322</v>
      </c>
      <c r="R6" s="147"/>
      <c r="S6" s="148"/>
      <c r="T6" s="146" t="s">
        <v>323</v>
      </c>
      <c r="U6" s="147"/>
      <c r="V6" s="148"/>
      <c r="W6" s="146" t="s">
        <v>297</v>
      </c>
      <c r="X6" s="147"/>
      <c r="Y6" s="148"/>
      <c r="Z6" s="146" t="s">
        <v>324</v>
      </c>
      <c r="AA6" s="147"/>
      <c r="AB6" s="147"/>
      <c r="AC6" s="143"/>
      <c r="AD6" s="136" t="s">
        <v>301</v>
      </c>
      <c r="AE6" s="136" t="s">
        <v>316</v>
      </c>
      <c r="AF6" s="136" t="s">
        <v>320</v>
      </c>
      <c r="AG6" s="136" t="s">
        <v>325</v>
      </c>
      <c r="AH6" s="141" t="s">
        <v>317</v>
      </c>
      <c r="AI6" s="141" t="s">
        <v>319</v>
      </c>
      <c r="AJ6" s="136"/>
      <c r="AK6" s="36"/>
      <c r="AL6" s="95"/>
      <c r="AM6" s="95"/>
    </row>
    <row r="7" spans="1:39" ht="111.75" customHeight="1" x14ac:dyDescent="0.3">
      <c r="A7" s="154"/>
      <c r="B7" s="37" t="s">
        <v>8</v>
      </c>
      <c r="C7" s="37" t="s">
        <v>9</v>
      </c>
      <c r="D7" s="38" t="s">
        <v>10</v>
      </c>
      <c r="E7" s="37" t="s">
        <v>8</v>
      </c>
      <c r="F7" s="37" t="s">
        <v>9</v>
      </c>
      <c r="G7" s="37" t="s">
        <v>10</v>
      </c>
      <c r="H7" s="37" t="s">
        <v>8</v>
      </c>
      <c r="I7" s="37" t="s">
        <v>9</v>
      </c>
      <c r="J7" s="37" t="s">
        <v>10</v>
      </c>
      <c r="K7" s="37" t="s">
        <v>8</v>
      </c>
      <c r="L7" s="37" t="s">
        <v>9</v>
      </c>
      <c r="M7" s="37" t="s">
        <v>10</v>
      </c>
      <c r="N7" s="37" t="s">
        <v>8</v>
      </c>
      <c r="O7" s="37" t="s">
        <v>9</v>
      </c>
      <c r="P7" s="37" t="s">
        <v>10</v>
      </c>
      <c r="Q7" s="37" t="s">
        <v>8</v>
      </c>
      <c r="R7" s="37" t="s">
        <v>9</v>
      </c>
      <c r="S7" s="37" t="s">
        <v>10</v>
      </c>
      <c r="T7" s="37" t="s">
        <v>8</v>
      </c>
      <c r="U7" s="37" t="s">
        <v>9</v>
      </c>
      <c r="V7" s="37" t="s">
        <v>10</v>
      </c>
      <c r="W7" s="37" t="s">
        <v>8</v>
      </c>
      <c r="X7" s="37" t="s">
        <v>9</v>
      </c>
      <c r="Y7" s="37" t="s">
        <v>10</v>
      </c>
      <c r="Z7" s="37" t="s">
        <v>8</v>
      </c>
      <c r="AA7" s="37" t="s">
        <v>9</v>
      </c>
      <c r="AB7" s="52" t="s">
        <v>10</v>
      </c>
      <c r="AC7" s="143"/>
      <c r="AD7" s="136"/>
      <c r="AE7" s="136"/>
      <c r="AF7" s="136"/>
      <c r="AG7" s="136"/>
      <c r="AH7" s="142"/>
      <c r="AI7" s="142"/>
      <c r="AJ7" s="136"/>
      <c r="AK7" s="36"/>
      <c r="AL7" s="95"/>
      <c r="AM7" s="95"/>
    </row>
    <row r="8" spans="1:39" ht="18.75" x14ac:dyDescent="0.3">
      <c r="A8" s="86" t="s">
        <v>205</v>
      </c>
      <c r="B8" s="8">
        <v>31919.91</v>
      </c>
      <c r="C8" s="8">
        <v>18332.259999999998</v>
      </c>
      <c r="D8" s="8">
        <v>38637.57</v>
      </c>
      <c r="E8" s="8">
        <v>91378.63</v>
      </c>
      <c r="F8" s="8">
        <v>73685.070000000007</v>
      </c>
      <c r="G8" s="8">
        <v>72766.289999999994</v>
      </c>
      <c r="H8" s="8">
        <v>94594.27</v>
      </c>
      <c r="I8" s="8">
        <v>73931.55</v>
      </c>
      <c r="J8" s="8">
        <v>98096.39</v>
      </c>
      <c r="K8" s="8">
        <v>94826.81</v>
      </c>
      <c r="L8" s="8">
        <v>81609.029603759976</v>
      </c>
      <c r="M8" s="8">
        <v>81667.320000000007</v>
      </c>
      <c r="N8" s="8">
        <f>B8+E8+H8+K8</f>
        <v>312719.62</v>
      </c>
      <c r="O8" s="8">
        <f>C8+F8+I8+L8</f>
        <v>247557.90960376</v>
      </c>
      <c r="P8" s="8">
        <f>D8+G8+J8+M8</f>
        <v>291167.57</v>
      </c>
      <c r="Q8" s="8">
        <v>108470.56</v>
      </c>
      <c r="R8" s="8">
        <v>91075.95</v>
      </c>
      <c r="S8" s="8">
        <v>624.16</v>
      </c>
      <c r="T8" s="8">
        <f>N8+Q8</f>
        <v>421190.18</v>
      </c>
      <c r="U8" s="8">
        <f>O8+R8</f>
        <v>338633.85960376001</v>
      </c>
      <c r="V8" s="8">
        <f>P8+S8</f>
        <v>291791.73</v>
      </c>
      <c r="W8" s="7">
        <v>131733.59</v>
      </c>
      <c r="X8" s="7">
        <v>124399.74</v>
      </c>
      <c r="Y8" s="7">
        <v>89675.66</v>
      </c>
      <c r="Z8" s="8">
        <f>T8+W8</f>
        <v>552923.77</v>
      </c>
      <c r="AA8" s="8">
        <f>U8+X8</f>
        <v>463033.59960376</v>
      </c>
      <c r="AB8" s="8">
        <f>V8+Y8</f>
        <v>381467.39</v>
      </c>
      <c r="AC8" s="10">
        <f>AA8-AB8</f>
        <v>81566.209603759984</v>
      </c>
      <c r="AD8" s="25">
        <v>-3386.34</v>
      </c>
      <c r="AE8" s="7">
        <v>-13242.18</v>
      </c>
      <c r="AF8" s="7">
        <v>-14683.07</v>
      </c>
      <c r="AG8" s="7">
        <f>AE8+AF8</f>
        <v>-27925.25</v>
      </c>
      <c r="AH8" s="7">
        <v>-1841.85</v>
      </c>
      <c r="AI8" s="7">
        <v>-3036.68</v>
      </c>
      <c r="AJ8" s="10">
        <f>AC8+AD8+AG8+AH8+AI8</f>
        <v>45376.089603759989</v>
      </c>
    </row>
    <row r="9" spans="1:39" ht="18.75" x14ac:dyDescent="0.3">
      <c r="A9" s="19" t="s">
        <v>206</v>
      </c>
      <c r="B9" s="8">
        <v>32115.07</v>
      </c>
      <c r="C9" s="8">
        <v>16609.080000000002</v>
      </c>
      <c r="D9" s="8">
        <v>44213.56</v>
      </c>
      <c r="E9" s="8">
        <v>91821.66</v>
      </c>
      <c r="F9" s="8">
        <v>63804.22</v>
      </c>
      <c r="G9" s="8">
        <v>74281.94</v>
      </c>
      <c r="H9" s="8">
        <v>107923.42</v>
      </c>
      <c r="I9" s="8">
        <v>86327.56</v>
      </c>
      <c r="J9" s="8">
        <v>96612.75</v>
      </c>
      <c r="K9" s="8">
        <v>95537.84</v>
      </c>
      <c r="L9" s="8">
        <v>96374.606666456326</v>
      </c>
      <c r="M9" s="8">
        <v>86799.29</v>
      </c>
      <c r="N9" s="8">
        <f t="shared" ref="N9:P26" si="0">B9+E9+H9+K9</f>
        <v>327397.99</v>
      </c>
      <c r="O9" s="8">
        <f t="shared" si="0"/>
        <v>263115.46666645631</v>
      </c>
      <c r="P9" s="8">
        <f t="shared" si="0"/>
        <v>301907.53999999998</v>
      </c>
      <c r="Q9" s="8">
        <v>95969.799999999988</v>
      </c>
      <c r="R9" s="8">
        <v>87512.44</v>
      </c>
      <c r="S9" s="8">
        <v>624.16</v>
      </c>
      <c r="T9" s="8">
        <f t="shared" ref="T9:V27" si="1">N9+Q9</f>
        <v>423367.79</v>
      </c>
      <c r="U9" s="8">
        <f t="shared" si="1"/>
        <v>350627.90666645631</v>
      </c>
      <c r="V9" s="8">
        <f t="shared" si="1"/>
        <v>302531.69999999995</v>
      </c>
      <c r="W9" s="7">
        <v>128005.7</v>
      </c>
      <c r="X9" s="7">
        <v>76851.77</v>
      </c>
      <c r="Y9" s="7">
        <v>87725.52</v>
      </c>
      <c r="Z9" s="8">
        <f t="shared" ref="Z9:AB26" si="2">T9+W9</f>
        <v>551373.49</v>
      </c>
      <c r="AA9" s="8">
        <f t="shared" si="2"/>
        <v>427479.67666645633</v>
      </c>
      <c r="AB9" s="8">
        <f t="shared" si="2"/>
        <v>390257.22</v>
      </c>
      <c r="AC9" s="10">
        <f t="shared" ref="AC9:AC27" si="3">AA9-AB9</f>
        <v>37222.456666456361</v>
      </c>
      <c r="AD9" s="25">
        <v>-3506.28</v>
      </c>
      <c r="AE9" s="7">
        <v>-9574.77</v>
      </c>
      <c r="AF9" s="7">
        <v>-18439.7</v>
      </c>
      <c r="AG9" s="7">
        <f t="shared" ref="AG9:AG27" si="4">AE9+AF9</f>
        <v>-28014.47</v>
      </c>
      <c r="AH9" s="7">
        <v>-1855.38</v>
      </c>
      <c r="AI9" s="7">
        <v>-4395.12</v>
      </c>
      <c r="AJ9" s="10">
        <f t="shared" ref="AJ9:AJ26" si="5">AC9+AD9+AG9+AH9+AI9</f>
        <v>-548.79333354363916</v>
      </c>
    </row>
    <row r="10" spans="1:39" ht="18.75" x14ac:dyDescent="0.3">
      <c r="A10" s="19" t="s">
        <v>207</v>
      </c>
      <c r="B10" s="8">
        <v>32378.66</v>
      </c>
      <c r="C10" s="8">
        <v>19530.59</v>
      </c>
      <c r="D10" s="8">
        <v>41241.870000000003</v>
      </c>
      <c r="E10" s="8">
        <v>92826.85</v>
      </c>
      <c r="F10" s="8">
        <v>75758.2</v>
      </c>
      <c r="G10" s="8">
        <v>77845</v>
      </c>
      <c r="H10" s="8">
        <v>95935.46</v>
      </c>
      <c r="I10" s="8">
        <v>76047.03</v>
      </c>
      <c r="J10" s="8">
        <v>100816.37</v>
      </c>
      <c r="K10" s="8">
        <v>96384.67</v>
      </c>
      <c r="L10" s="8">
        <v>92212.519996620817</v>
      </c>
      <c r="M10" s="8">
        <v>88363.03</v>
      </c>
      <c r="N10" s="8">
        <f t="shared" si="0"/>
        <v>317525.64</v>
      </c>
      <c r="O10" s="8">
        <f t="shared" si="0"/>
        <v>263548.33999662084</v>
      </c>
      <c r="P10" s="8">
        <f t="shared" si="0"/>
        <v>308266.27</v>
      </c>
      <c r="Q10" s="8">
        <v>110029.14</v>
      </c>
      <c r="R10" s="8">
        <v>93679.959999999992</v>
      </c>
      <c r="S10" s="8">
        <v>20427.45</v>
      </c>
      <c r="T10" s="8">
        <f t="shared" si="1"/>
        <v>427554.78</v>
      </c>
      <c r="U10" s="8">
        <f t="shared" si="1"/>
        <v>357228.29999662086</v>
      </c>
      <c r="V10" s="8">
        <f t="shared" si="1"/>
        <v>328693.72000000003</v>
      </c>
      <c r="W10" s="7">
        <v>133482.01999999999</v>
      </c>
      <c r="X10" s="7">
        <v>103147.58</v>
      </c>
      <c r="Y10" s="7">
        <v>96393.59</v>
      </c>
      <c r="Z10" s="8">
        <f t="shared" si="2"/>
        <v>561036.80000000005</v>
      </c>
      <c r="AA10" s="8">
        <f t="shared" si="2"/>
        <v>460375.87999662088</v>
      </c>
      <c r="AB10" s="8">
        <f t="shared" si="2"/>
        <v>425087.31000000006</v>
      </c>
      <c r="AC10" s="10">
        <f t="shared" si="3"/>
        <v>35288.569996620819</v>
      </c>
      <c r="AD10" s="25">
        <v>-3572.28</v>
      </c>
      <c r="AE10" s="7">
        <v>-16365.3</v>
      </c>
      <c r="AF10" s="7">
        <v>-22678.11</v>
      </c>
      <c r="AG10" s="7">
        <f t="shared" si="4"/>
        <v>-39043.410000000003</v>
      </c>
      <c r="AH10" s="7">
        <v>-1870.61</v>
      </c>
      <c r="AI10" s="7">
        <v>-3957</v>
      </c>
      <c r="AJ10" s="10">
        <f t="shared" si="5"/>
        <v>-13154.730003379183</v>
      </c>
    </row>
    <row r="11" spans="1:39" ht="18.75" x14ac:dyDescent="0.3">
      <c r="A11" s="19" t="s">
        <v>208</v>
      </c>
      <c r="B11" s="8">
        <v>31944.29</v>
      </c>
      <c r="C11" s="8">
        <v>17062</v>
      </c>
      <c r="D11" s="8">
        <v>41600.43</v>
      </c>
      <c r="E11" s="8">
        <v>91698.6</v>
      </c>
      <c r="F11" s="8">
        <v>72492.789999999994</v>
      </c>
      <c r="G11" s="8">
        <v>76679.350000000006</v>
      </c>
      <c r="H11" s="8">
        <v>94696.57</v>
      </c>
      <c r="I11" s="8">
        <v>91101.64</v>
      </c>
      <c r="J11" s="8">
        <v>99827.9</v>
      </c>
      <c r="K11" s="8">
        <v>95130.84</v>
      </c>
      <c r="L11" s="8">
        <v>116212.49088878732</v>
      </c>
      <c r="M11" s="8">
        <v>90206.85</v>
      </c>
      <c r="N11" s="8">
        <f t="shared" si="0"/>
        <v>313470.30000000005</v>
      </c>
      <c r="O11" s="8">
        <f t="shared" si="0"/>
        <v>296868.92088878731</v>
      </c>
      <c r="P11" s="8">
        <f t="shared" si="0"/>
        <v>308314.53000000003</v>
      </c>
      <c r="Q11" s="8">
        <v>108553.45999999999</v>
      </c>
      <c r="R11" s="8">
        <v>103134.72</v>
      </c>
      <c r="S11" s="8">
        <v>143859.70000000001</v>
      </c>
      <c r="T11" s="8">
        <f t="shared" si="1"/>
        <v>422023.76</v>
      </c>
      <c r="U11" s="8">
        <f t="shared" si="1"/>
        <v>400003.64088878734</v>
      </c>
      <c r="V11" s="8">
        <f t="shared" si="1"/>
        <v>452174.23000000004</v>
      </c>
      <c r="W11" s="7">
        <v>132182.48000000001</v>
      </c>
      <c r="X11" s="7">
        <v>126414.49</v>
      </c>
      <c r="Y11" s="7">
        <v>151235.81</v>
      </c>
      <c r="Z11" s="8">
        <f t="shared" si="2"/>
        <v>554206.24</v>
      </c>
      <c r="AA11" s="8">
        <f t="shared" si="2"/>
        <v>526418.13088878733</v>
      </c>
      <c r="AB11" s="8">
        <f t="shared" si="2"/>
        <v>603410.04</v>
      </c>
      <c r="AC11" s="10">
        <f t="shared" si="3"/>
        <v>-76991.909111212706</v>
      </c>
      <c r="AD11" s="25">
        <v>-4000.04</v>
      </c>
      <c r="AE11" s="7">
        <v>-8381.56</v>
      </c>
      <c r="AF11" s="7">
        <v>-18635.93</v>
      </c>
      <c r="AG11" s="7">
        <f t="shared" si="4"/>
        <v>-27017.489999999998</v>
      </c>
      <c r="AH11" s="7">
        <v>-1845.52</v>
      </c>
      <c r="AI11" s="7">
        <v>-1338</v>
      </c>
      <c r="AJ11" s="10">
        <f t="shared" si="5"/>
        <v>-111192.95911121271</v>
      </c>
    </row>
    <row r="12" spans="1:39" ht="18.75" x14ac:dyDescent="0.3">
      <c r="A12" s="19" t="s">
        <v>209</v>
      </c>
      <c r="B12" s="8">
        <v>29733.54</v>
      </c>
      <c r="C12" s="8">
        <v>23522.46</v>
      </c>
      <c r="D12" s="8">
        <v>34828.99</v>
      </c>
      <c r="E12" s="8">
        <v>83927.34</v>
      </c>
      <c r="F12" s="8">
        <v>81650.61</v>
      </c>
      <c r="G12" s="8">
        <v>62042.34</v>
      </c>
      <c r="H12" s="8">
        <v>86865.18</v>
      </c>
      <c r="I12" s="8">
        <v>88813.09</v>
      </c>
      <c r="J12" s="8">
        <v>66685.84</v>
      </c>
      <c r="K12" s="8">
        <v>87111.8</v>
      </c>
      <c r="L12" s="8">
        <v>72594.569740734209</v>
      </c>
      <c r="M12" s="8">
        <v>64070.51</v>
      </c>
      <c r="N12" s="8">
        <f t="shared" si="0"/>
        <v>287637.86</v>
      </c>
      <c r="O12" s="8">
        <f t="shared" si="0"/>
        <v>266580.72974073421</v>
      </c>
      <c r="P12" s="8">
        <f t="shared" si="0"/>
        <v>227627.68</v>
      </c>
      <c r="Q12" s="8">
        <v>90977.989999999991</v>
      </c>
      <c r="R12" s="8">
        <v>87711.72</v>
      </c>
      <c r="S12" s="8">
        <v>10631.130000000001</v>
      </c>
      <c r="T12" s="8">
        <f t="shared" si="1"/>
        <v>378615.85</v>
      </c>
      <c r="U12" s="8">
        <f t="shared" si="1"/>
        <v>354292.44974073418</v>
      </c>
      <c r="V12" s="8">
        <f t="shared" si="1"/>
        <v>238258.81</v>
      </c>
      <c r="W12" s="7">
        <v>118559.44</v>
      </c>
      <c r="X12" s="7">
        <v>108800.02</v>
      </c>
      <c r="Y12" s="7">
        <v>104294.74</v>
      </c>
      <c r="Z12" s="8">
        <f t="shared" si="2"/>
        <v>497175.29</v>
      </c>
      <c r="AA12" s="8">
        <f t="shared" si="2"/>
        <v>463092.4697407342</v>
      </c>
      <c r="AB12" s="8">
        <f t="shared" si="2"/>
        <v>342553.55</v>
      </c>
      <c r="AC12" s="10">
        <f t="shared" si="3"/>
        <v>120538.91974073421</v>
      </c>
      <c r="AD12" s="25">
        <v>-3542.92</v>
      </c>
      <c r="AE12" s="7"/>
      <c r="AF12" s="7"/>
      <c r="AG12" s="7">
        <f t="shared" si="4"/>
        <v>0</v>
      </c>
      <c r="AH12" s="7">
        <v>-1546.72</v>
      </c>
      <c r="AI12" s="7"/>
      <c r="AJ12" s="10">
        <f t="shared" si="5"/>
        <v>115449.27974073422</v>
      </c>
    </row>
    <row r="13" spans="1:39" ht="18.75" x14ac:dyDescent="0.3">
      <c r="A13" s="19" t="s">
        <v>210</v>
      </c>
      <c r="B13" s="8">
        <v>29728.1</v>
      </c>
      <c r="C13" s="8">
        <v>20448.060000000001</v>
      </c>
      <c r="D13" s="8">
        <v>35398.129999999997</v>
      </c>
      <c r="E13" s="8">
        <v>84243.01</v>
      </c>
      <c r="F13" s="8">
        <v>73248.240000000005</v>
      </c>
      <c r="G13" s="8">
        <v>64390.86</v>
      </c>
      <c r="H13" s="8">
        <v>86834.13</v>
      </c>
      <c r="I13" s="8">
        <v>90866.26</v>
      </c>
      <c r="J13" s="8">
        <v>69694.539999999994</v>
      </c>
      <c r="K13" s="8">
        <v>87004.08</v>
      </c>
      <c r="L13" s="8">
        <v>85304.272748789299</v>
      </c>
      <c r="M13" s="8">
        <v>65407.39</v>
      </c>
      <c r="N13" s="8">
        <f t="shared" si="0"/>
        <v>287809.32</v>
      </c>
      <c r="O13" s="8">
        <f t="shared" si="0"/>
        <v>269866.83274878928</v>
      </c>
      <c r="P13" s="8">
        <f t="shared" si="0"/>
        <v>234890.91999999998</v>
      </c>
      <c r="Q13" s="8">
        <v>90961.41</v>
      </c>
      <c r="R13" s="8">
        <v>87889.279999999999</v>
      </c>
      <c r="S13" s="8">
        <v>5943.32</v>
      </c>
      <c r="T13" s="8">
        <f t="shared" si="1"/>
        <v>378770.73</v>
      </c>
      <c r="U13" s="8">
        <f t="shared" si="1"/>
        <v>357756.11274878925</v>
      </c>
      <c r="V13" s="8">
        <f t="shared" si="1"/>
        <v>240834.24</v>
      </c>
      <c r="W13" s="7">
        <v>118458.24000000001</v>
      </c>
      <c r="X13" s="7">
        <v>123120.17</v>
      </c>
      <c r="Y13" s="7">
        <v>97495.54</v>
      </c>
      <c r="Z13" s="8">
        <f t="shared" si="2"/>
        <v>497228.97</v>
      </c>
      <c r="AA13" s="8">
        <f t="shared" si="2"/>
        <v>480876.28274878924</v>
      </c>
      <c r="AB13" s="8">
        <f t="shared" si="2"/>
        <v>338329.77999999997</v>
      </c>
      <c r="AC13" s="10">
        <f t="shared" si="3"/>
        <v>142546.50274878927</v>
      </c>
      <c r="AD13" s="25">
        <v>-3577.56</v>
      </c>
      <c r="AE13" s="7">
        <v>-557.73</v>
      </c>
      <c r="AF13" s="7">
        <v>-1219.96</v>
      </c>
      <c r="AG13" s="7">
        <f t="shared" si="4"/>
        <v>-1777.69</v>
      </c>
      <c r="AH13" s="7">
        <v>-1546.44</v>
      </c>
      <c r="AI13" s="7">
        <v>-742</v>
      </c>
      <c r="AJ13" s="10">
        <f t="shared" si="5"/>
        <v>134902.81274878926</v>
      </c>
    </row>
    <row r="14" spans="1:39" ht="18.75" x14ac:dyDescent="0.3">
      <c r="A14" s="19" t="s">
        <v>211</v>
      </c>
      <c r="B14" s="8">
        <v>29489.69</v>
      </c>
      <c r="C14" s="8">
        <v>14253.37</v>
      </c>
      <c r="D14" s="8">
        <v>34437.300000000003</v>
      </c>
      <c r="E14" s="8">
        <v>83533.320000000007</v>
      </c>
      <c r="F14" s="8">
        <v>43760.49</v>
      </c>
      <c r="G14" s="8">
        <v>65177.66</v>
      </c>
      <c r="H14" s="8">
        <v>85452.84</v>
      </c>
      <c r="I14" s="8">
        <v>46627.12</v>
      </c>
      <c r="J14" s="8">
        <v>64745.93</v>
      </c>
      <c r="K14" s="8">
        <v>86433.91</v>
      </c>
      <c r="L14" s="8">
        <v>107667.59595720221</v>
      </c>
      <c r="M14" s="8">
        <v>63884.75</v>
      </c>
      <c r="N14" s="8">
        <f t="shared" si="0"/>
        <v>284909.76</v>
      </c>
      <c r="O14" s="8">
        <f t="shared" si="0"/>
        <v>212308.57595720224</v>
      </c>
      <c r="P14" s="8">
        <f t="shared" si="0"/>
        <v>228245.64</v>
      </c>
      <c r="Q14" s="8">
        <v>90231.859999999986</v>
      </c>
      <c r="R14" s="8">
        <v>75567.839999999997</v>
      </c>
      <c r="S14" s="8">
        <v>2354.34</v>
      </c>
      <c r="T14" s="8">
        <f t="shared" si="1"/>
        <v>375141.62</v>
      </c>
      <c r="U14" s="8">
        <f t="shared" si="1"/>
        <v>287876.4159572022</v>
      </c>
      <c r="V14" s="8">
        <f t="shared" si="1"/>
        <v>230599.98</v>
      </c>
      <c r="W14" s="7">
        <v>117553.13</v>
      </c>
      <c r="X14" s="7">
        <v>96080.49</v>
      </c>
      <c r="Y14" s="7">
        <v>94840.4</v>
      </c>
      <c r="Z14" s="8">
        <f t="shared" si="2"/>
        <v>492694.75</v>
      </c>
      <c r="AA14" s="8">
        <f t="shared" si="2"/>
        <v>383956.90595720219</v>
      </c>
      <c r="AB14" s="8">
        <f t="shared" si="2"/>
        <v>325440.38</v>
      </c>
      <c r="AC14" s="10">
        <f t="shared" si="3"/>
        <v>58516.52595720219</v>
      </c>
      <c r="AD14" s="25">
        <v>-2878.76</v>
      </c>
      <c r="AE14" s="7">
        <v>-15531.97</v>
      </c>
      <c r="AF14" s="7">
        <v>-14550.03</v>
      </c>
      <c r="AG14" s="7">
        <f t="shared" si="4"/>
        <v>-30082</v>
      </c>
      <c r="AH14" s="7">
        <v>-1534.03</v>
      </c>
      <c r="AI14" s="7"/>
      <c r="AJ14" s="10">
        <f t="shared" si="5"/>
        <v>24021.735957202189</v>
      </c>
    </row>
    <row r="15" spans="1:39" ht="18.75" x14ac:dyDescent="0.3">
      <c r="A15" s="19" t="s">
        <v>212</v>
      </c>
      <c r="B15" s="8">
        <v>29733.54</v>
      </c>
      <c r="C15" s="8">
        <v>21487.91</v>
      </c>
      <c r="D15" s="8">
        <v>34941.589999999997</v>
      </c>
      <c r="E15" s="8">
        <v>83932.96</v>
      </c>
      <c r="F15" s="8">
        <v>79575.77</v>
      </c>
      <c r="G15" s="8">
        <v>61843.29</v>
      </c>
      <c r="H15" s="8">
        <v>86664.74</v>
      </c>
      <c r="I15" s="8">
        <v>81212.95</v>
      </c>
      <c r="J15" s="8">
        <v>66013.67</v>
      </c>
      <c r="K15" s="8">
        <v>87101.32</v>
      </c>
      <c r="L15" s="8">
        <v>80901.73052867972</v>
      </c>
      <c r="M15" s="8">
        <v>62207.799999999996</v>
      </c>
      <c r="N15" s="8">
        <f t="shared" si="0"/>
        <v>287432.56</v>
      </c>
      <c r="O15" s="8">
        <f t="shared" si="0"/>
        <v>263178.36052867974</v>
      </c>
      <c r="P15" s="8">
        <f t="shared" si="0"/>
        <v>225006.34999999998</v>
      </c>
      <c r="Q15" s="8">
        <v>90977.989999999991</v>
      </c>
      <c r="R15" s="8">
        <v>86080.89</v>
      </c>
      <c r="S15" s="8">
        <v>12994</v>
      </c>
      <c r="T15" s="8">
        <f t="shared" si="1"/>
        <v>378410.55</v>
      </c>
      <c r="U15" s="8">
        <f t="shared" si="1"/>
        <v>349259.25052867975</v>
      </c>
      <c r="V15" s="8">
        <f t="shared" si="1"/>
        <v>238000.34999999998</v>
      </c>
      <c r="W15" s="7">
        <v>118491.68</v>
      </c>
      <c r="X15" s="7">
        <v>128671.74</v>
      </c>
      <c r="Y15" s="7">
        <v>89790.46</v>
      </c>
      <c r="Z15" s="8">
        <f t="shared" si="2"/>
        <v>496902.23</v>
      </c>
      <c r="AA15" s="8">
        <f t="shared" si="2"/>
        <v>477930.99052867974</v>
      </c>
      <c r="AB15" s="8">
        <f t="shared" si="2"/>
        <v>327790.81</v>
      </c>
      <c r="AC15" s="10">
        <f t="shared" si="3"/>
        <v>150140.18052867975</v>
      </c>
      <c r="AD15" s="25">
        <v>-3492.59</v>
      </c>
      <c r="AE15" s="7">
        <v>-387.32</v>
      </c>
      <c r="AF15" s="7">
        <v>-1357.86</v>
      </c>
      <c r="AG15" s="7">
        <f t="shared" si="4"/>
        <v>-1745.1799999999998</v>
      </c>
      <c r="AH15" s="7">
        <v>-1546.72</v>
      </c>
      <c r="AI15" s="7">
        <v>-1017</v>
      </c>
      <c r="AJ15" s="10">
        <f t="shared" si="5"/>
        <v>142338.69052867976</v>
      </c>
    </row>
    <row r="16" spans="1:39" ht="18.75" x14ac:dyDescent="0.3">
      <c r="A16" s="19" t="s">
        <v>214</v>
      </c>
      <c r="B16" s="8">
        <v>4235.25</v>
      </c>
      <c r="C16" s="8">
        <v>705.36</v>
      </c>
      <c r="D16" s="8">
        <v>5547.37</v>
      </c>
      <c r="E16" s="8">
        <v>10965.3</v>
      </c>
      <c r="F16" s="8">
        <v>8066.85</v>
      </c>
      <c r="G16" s="8">
        <v>8381.51</v>
      </c>
      <c r="H16" s="8">
        <v>11633.16</v>
      </c>
      <c r="I16" s="8">
        <v>8715.64</v>
      </c>
      <c r="J16" s="8">
        <v>11609.09</v>
      </c>
      <c r="K16" s="8">
        <v>11633.16</v>
      </c>
      <c r="L16" s="8">
        <v>7734.24</v>
      </c>
      <c r="M16" s="8">
        <v>11641.619999999999</v>
      </c>
      <c r="N16" s="8">
        <f t="shared" si="0"/>
        <v>38466.869999999995</v>
      </c>
      <c r="O16" s="8">
        <f t="shared" si="0"/>
        <v>25222.089999999997</v>
      </c>
      <c r="P16" s="8">
        <f t="shared" si="0"/>
        <v>37179.589999999997</v>
      </c>
      <c r="Q16" s="8"/>
      <c r="R16" s="8"/>
      <c r="S16" s="8"/>
      <c r="T16" s="8">
        <f t="shared" si="1"/>
        <v>38466.869999999995</v>
      </c>
      <c r="U16" s="8">
        <f t="shared" si="1"/>
        <v>25222.089999999997</v>
      </c>
      <c r="V16" s="8">
        <f t="shared" si="1"/>
        <v>37179.589999999997</v>
      </c>
      <c r="W16" s="7">
        <v>11822.41</v>
      </c>
      <c r="X16" s="7">
        <v>19860.490000000002</v>
      </c>
      <c r="Y16" s="7">
        <v>12975.92</v>
      </c>
      <c r="Z16" s="8">
        <f t="shared" si="2"/>
        <v>50289.279999999999</v>
      </c>
      <c r="AA16" s="8">
        <f t="shared" si="2"/>
        <v>45082.58</v>
      </c>
      <c r="AB16" s="8">
        <f t="shared" si="2"/>
        <v>50155.509999999995</v>
      </c>
      <c r="AC16" s="10">
        <f t="shared" si="3"/>
        <v>-5072.929999999993</v>
      </c>
      <c r="AD16" s="25">
        <v>-252.22</v>
      </c>
      <c r="AE16" s="7">
        <v>-2910.67</v>
      </c>
      <c r="AF16" s="7">
        <v>-2068.09</v>
      </c>
      <c r="AG16" s="7">
        <f t="shared" si="4"/>
        <v>-4978.76</v>
      </c>
      <c r="AH16" s="7">
        <v>-313.74</v>
      </c>
      <c r="AI16" s="7">
        <v>-200</v>
      </c>
      <c r="AJ16" s="10">
        <f t="shared" si="5"/>
        <v>-10817.649999999992</v>
      </c>
    </row>
    <row r="17" spans="1:36" ht="18.75" x14ac:dyDescent="0.3">
      <c r="A17" s="19" t="s">
        <v>215</v>
      </c>
      <c r="B17" s="7">
        <v>6178.48</v>
      </c>
      <c r="C17" s="7">
        <v>5673.93</v>
      </c>
      <c r="D17" s="7">
        <v>9190.66</v>
      </c>
      <c r="E17" s="7">
        <v>7986.3</v>
      </c>
      <c r="F17" s="7">
        <v>7885.02</v>
      </c>
      <c r="G17" s="7">
        <v>8886.0499999999993</v>
      </c>
      <c r="H17" s="7">
        <v>8198.64</v>
      </c>
      <c r="I17" s="7">
        <v>8198.64</v>
      </c>
      <c r="J17" s="7">
        <v>12307.95</v>
      </c>
      <c r="K17" s="7">
        <v>8198.64</v>
      </c>
      <c r="L17" s="7">
        <v>8198.64</v>
      </c>
      <c r="M17" s="7">
        <v>12265.020000000002</v>
      </c>
      <c r="N17" s="8">
        <f t="shared" si="0"/>
        <v>30562.059999999998</v>
      </c>
      <c r="O17" s="8">
        <f t="shared" si="0"/>
        <v>29956.23</v>
      </c>
      <c r="P17" s="8">
        <f t="shared" si="0"/>
        <v>42649.68</v>
      </c>
      <c r="Q17" s="7"/>
      <c r="R17" s="7"/>
      <c r="S17" s="7"/>
      <c r="T17" s="8">
        <f t="shared" si="1"/>
        <v>30562.059999999998</v>
      </c>
      <c r="U17" s="8">
        <f t="shared" si="1"/>
        <v>29956.23</v>
      </c>
      <c r="V17" s="8">
        <f t="shared" si="1"/>
        <v>42649.68</v>
      </c>
      <c r="W17" s="7">
        <v>8238.76</v>
      </c>
      <c r="X17" s="7">
        <v>8218.7000000000007</v>
      </c>
      <c r="Y17" s="7">
        <v>13542.94</v>
      </c>
      <c r="Z17" s="8">
        <f t="shared" si="2"/>
        <v>38800.82</v>
      </c>
      <c r="AA17" s="8">
        <f t="shared" si="2"/>
        <v>38174.93</v>
      </c>
      <c r="AB17" s="8">
        <f t="shared" si="2"/>
        <v>56192.62</v>
      </c>
      <c r="AC17" s="10">
        <f t="shared" si="3"/>
        <v>-18017.690000000002</v>
      </c>
      <c r="AD17" s="25">
        <v>-299.56</v>
      </c>
      <c r="AE17" s="7"/>
      <c r="AF17" s="7"/>
      <c r="AG17" s="7">
        <f t="shared" si="4"/>
        <v>0</v>
      </c>
      <c r="AH17" s="7">
        <v>-332.63</v>
      </c>
      <c r="AI17" s="7">
        <v>-2570.66</v>
      </c>
      <c r="AJ17" s="10">
        <f t="shared" si="5"/>
        <v>-21220.540000000005</v>
      </c>
    </row>
    <row r="18" spans="1:36" ht="18.75" x14ac:dyDescent="0.3">
      <c r="A18" s="19" t="s">
        <v>216</v>
      </c>
      <c r="B18" s="7">
        <v>4406.4399999999996</v>
      </c>
      <c r="C18" s="7">
        <v>2243.8200000000002</v>
      </c>
      <c r="D18" s="7">
        <v>5771.63</v>
      </c>
      <c r="E18" s="7">
        <v>11818.56</v>
      </c>
      <c r="F18" s="7">
        <v>5005.6099999999997</v>
      </c>
      <c r="G18" s="7">
        <v>8720.3799999999992</v>
      </c>
      <c r="H18" s="7">
        <v>12131.28</v>
      </c>
      <c r="I18" s="7">
        <v>6648.63</v>
      </c>
      <c r="J18" s="7">
        <v>12738.49</v>
      </c>
      <c r="K18" s="7">
        <v>12131.28</v>
      </c>
      <c r="L18" s="7">
        <v>4907.1899999999996</v>
      </c>
      <c r="M18" s="7">
        <v>12112.8</v>
      </c>
      <c r="N18" s="8">
        <f t="shared" si="0"/>
        <v>40487.56</v>
      </c>
      <c r="O18" s="8">
        <f t="shared" si="0"/>
        <v>18805.25</v>
      </c>
      <c r="P18" s="8">
        <f t="shared" si="0"/>
        <v>39343.300000000003</v>
      </c>
      <c r="Q18" s="7"/>
      <c r="R18" s="7"/>
      <c r="S18" s="7"/>
      <c r="T18" s="8">
        <f t="shared" si="1"/>
        <v>40487.56</v>
      </c>
      <c r="U18" s="8">
        <f t="shared" si="1"/>
        <v>18805.25</v>
      </c>
      <c r="V18" s="8">
        <f t="shared" si="1"/>
        <v>39343.300000000003</v>
      </c>
      <c r="W18" s="7">
        <v>12328.08</v>
      </c>
      <c r="X18" s="7">
        <v>18854.59</v>
      </c>
      <c r="Y18" s="7">
        <v>13490.63</v>
      </c>
      <c r="Z18" s="8">
        <f t="shared" si="2"/>
        <v>52815.64</v>
      </c>
      <c r="AA18" s="8">
        <f t="shared" si="2"/>
        <v>37659.839999999997</v>
      </c>
      <c r="AB18" s="8">
        <f t="shared" si="2"/>
        <v>52833.93</v>
      </c>
      <c r="AC18" s="10">
        <f t="shared" si="3"/>
        <v>-15174.090000000004</v>
      </c>
      <c r="AD18" s="25">
        <v>-188.05</v>
      </c>
      <c r="AE18" s="7">
        <v>-8384.0300000000007</v>
      </c>
      <c r="AF18" s="7">
        <v>-3796.38</v>
      </c>
      <c r="AG18" s="7">
        <f t="shared" si="4"/>
        <v>-12180.41</v>
      </c>
      <c r="AH18" s="7">
        <v>-326.43</v>
      </c>
      <c r="AI18" s="7">
        <v>-616</v>
      </c>
      <c r="AJ18" s="10">
        <f t="shared" si="5"/>
        <v>-28484.980000000003</v>
      </c>
    </row>
    <row r="19" spans="1:36" ht="18.75" x14ac:dyDescent="0.3">
      <c r="A19" s="19" t="s">
        <v>217</v>
      </c>
      <c r="B19" s="7">
        <v>8487.6</v>
      </c>
      <c r="C19" s="7">
        <v>8572.07</v>
      </c>
      <c r="D19" s="7">
        <v>12625.5</v>
      </c>
      <c r="E19" s="7">
        <v>12108.9</v>
      </c>
      <c r="F19" s="7">
        <v>9221.09</v>
      </c>
      <c r="G19" s="7">
        <v>12207.03</v>
      </c>
      <c r="H19" s="7">
        <v>12429.84</v>
      </c>
      <c r="I19" s="7">
        <v>11075.65</v>
      </c>
      <c r="J19" s="7">
        <v>17831.669999999998</v>
      </c>
      <c r="K19" s="7">
        <v>12429.84</v>
      </c>
      <c r="L19" s="7">
        <v>9314.14</v>
      </c>
      <c r="M19" s="7">
        <v>16870.650000000001</v>
      </c>
      <c r="N19" s="8">
        <f t="shared" si="0"/>
        <v>45456.179999999993</v>
      </c>
      <c r="O19" s="8">
        <f t="shared" si="0"/>
        <v>38182.949999999997</v>
      </c>
      <c r="P19" s="8">
        <f t="shared" si="0"/>
        <v>59534.85</v>
      </c>
      <c r="Q19" s="7"/>
      <c r="R19" s="7"/>
      <c r="S19" s="7"/>
      <c r="T19" s="8">
        <f t="shared" si="1"/>
        <v>45456.179999999993</v>
      </c>
      <c r="U19" s="8">
        <f t="shared" si="1"/>
        <v>38182.949999999997</v>
      </c>
      <c r="V19" s="8">
        <f t="shared" si="1"/>
        <v>59534.85</v>
      </c>
      <c r="W19" s="7">
        <v>12491.44</v>
      </c>
      <c r="X19" s="7">
        <v>9994.48</v>
      </c>
      <c r="Y19" s="7">
        <v>18613.18</v>
      </c>
      <c r="Z19" s="8">
        <f t="shared" si="2"/>
        <v>57947.619999999995</v>
      </c>
      <c r="AA19" s="8">
        <f t="shared" si="2"/>
        <v>48177.429999999993</v>
      </c>
      <c r="AB19" s="8">
        <f t="shared" si="2"/>
        <v>78148.03</v>
      </c>
      <c r="AC19" s="10">
        <f t="shared" si="3"/>
        <v>-29970.600000000006</v>
      </c>
      <c r="AD19" s="25">
        <v>-381.83</v>
      </c>
      <c r="AE19" s="7">
        <v>-2161.77</v>
      </c>
      <c r="AF19" s="7">
        <v>-1679.42</v>
      </c>
      <c r="AG19" s="7">
        <f t="shared" si="4"/>
        <v>-3841.19</v>
      </c>
      <c r="AH19" s="7">
        <v>-456.94</v>
      </c>
      <c r="AI19" s="7"/>
      <c r="AJ19" s="10">
        <f t="shared" si="5"/>
        <v>-34650.560000000012</v>
      </c>
    </row>
    <row r="20" spans="1:36" ht="18.75" x14ac:dyDescent="0.3">
      <c r="A20" s="19" t="s">
        <v>218</v>
      </c>
      <c r="B20" s="7">
        <v>5809.05</v>
      </c>
      <c r="C20" s="7">
        <v>5170.33</v>
      </c>
      <c r="D20" s="7">
        <v>9388.09</v>
      </c>
      <c r="E20" s="7">
        <v>10129.32</v>
      </c>
      <c r="F20" s="7">
        <v>10075.99</v>
      </c>
      <c r="G20" s="7">
        <v>10211.43</v>
      </c>
      <c r="H20" s="7">
        <v>10397.879999999999</v>
      </c>
      <c r="I20" s="7">
        <v>10104.950000000001</v>
      </c>
      <c r="J20" s="7">
        <v>14916.59</v>
      </c>
      <c r="K20" s="7">
        <v>10397.879999999999</v>
      </c>
      <c r="L20" s="7">
        <v>10692.57</v>
      </c>
      <c r="M20" s="7">
        <v>14112.66</v>
      </c>
      <c r="N20" s="8">
        <f t="shared" si="0"/>
        <v>36734.129999999997</v>
      </c>
      <c r="O20" s="8">
        <f t="shared" si="0"/>
        <v>36043.839999999997</v>
      </c>
      <c r="P20" s="8">
        <f t="shared" si="0"/>
        <v>48628.770000000004</v>
      </c>
      <c r="Q20" s="7"/>
      <c r="R20" s="7"/>
      <c r="S20" s="7"/>
      <c r="T20" s="8">
        <f t="shared" si="1"/>
        <v>36734.129999999997</v>
      </c>
      <c r="U20" s="8">
        <f t="shared" si="1"/>
        <v>36043.839999999997</v>
      </c>
      <c r="V20" s="8">
        <f t="shared" si="1"/>
        <v>48628.770000000004</v>
      </c>
      <c r="W20" s="7">
        <v>10449.4</v>
      </c>
      <c r="X20" s="7">
        <v>10417.76</v>
      </c>
      <c r="Y20" s="7">
        <v>18721.259999999998</v>
      </c>
      <c r="Z20" s="8">
        <f t="shared" si="2"/>
        <v>47183.53</v>
      </c>
      <c r="AA20" s="8">
        <f t="shared" si="2"/>
        <v>46461.599999999999</v>
      </c>
      <c r="AB20" s="8">
        <f t="shared" si="2"/>
        <v>67350.03</v>
      </c>
      <c r="AC20" s="10">
        <f t="shared" si="3"/>
        <v>-20888.43</v>
      </c>
      <c r="AD20" s="25">
        <v>-360.44</v>
      </c>
      <c r="AE20" s="7"/>
      <c r="AF20" s="7"/>
      <c r="AG20" s="7">
        <f t="shared" si="4"/>
        <v>0</v>
      </c>
      <c r="AH20" s="7">
        <v>-382.24</v>
      </c>
      <c r="AI20" s="7"/>
      <c r="AJ20" s="10">
        <f t="shared" si="5"/>
        <v>-21631.11</v>
      </c>
    </row>
    <row r="21" spans="1:36" ht="18.75" x14ac:dyDescent="0.3">
      <c r="A21" s="19" t="s">
        <v>219</v>
      </c>
      <c r="B21" s="7">
        <v>4383.6499999999996</v>
      </c>
      <c r="C21" s="7">
        <v>2764.98</v>
      </c>
      <c r="D21" s="7">
        <v>5741.75</v>
      </c>
      <c r="E21" s="7">
        <v>11491.95</v>
      </c>
      <c r="F21" s="7">
        <v>5948.41</v>
      </c>
      <c r="G21" s="7">
        <v>8675.2000000000007</v>
      </c>
      <c r="H21" s="7">
        <v>10025.280000000001</v>
      </c>
      <c r="I21" s="7">
        <v>4073.67</v>
      </c>
      <c r="J21" s="7">
        <v>12368.11</v>
      </c>
      <c r="K21" s="7">
        <v>9954.4800000000014</v>
      </c>
      <c r="L21" s="7">
        <v>3824.11</v>
      </c>
      <c r="M21" s="7">
        <v>12010.529999999997</v>
      </c>
      <c r="N21" s="8">
        <f t="shared" si="0"/>
        <v>35855.360000000001</v>
      </c>
      <c r="O21" s="8">
        <f t="shared" si="0"/>
        <v>16611.169999999998</v>
      </c>
      <c r="P21" s="8">
        <f t="shared" si="0"/>
        <v>38795.589999999997</v>
      </c>
      <c r="Q21" s="7"/>
      <c r="R21" s="7"/>
      <c r="S21" s="7"/>
      <c r="T21" s="8">
        <f t="shared" si="1"/>
        <v>35855.360000000001</v>
      </c>
      <c r="U21" s="8">
        <f t="shared" si="1"/>
        <v>16611.169999999998</v>
      </c>
      <c r="V21" s="8">
        <f t="shared" si="1"/>
        <v>38795.589999999997</v>
      </c>
      <c r="W21" s="7">
        <v>10019.11</v>
      </c>
      <c r="X21" s="7">
        <v>16972.91</v>
      </c>
      <c r="Y21" s="7">
        <v>13387.41</v>
      </c>
      <c r="Z21" s="8">
        <f t="shared" si="2"/>
        <v>45874.47</v>
      </c>
      <c r="AA21" s="8">
        <f t="shared" si="2"/>
        <v>33584.080000000002</v>
      </c>
      <c r="AB21" s="8">
        <f t="shared" si="2"/>
        <v>52183</v>
      </c>
      <c r="AC21" s="10">
        <f t="shared" si="3"/>
        <v>-18598.919999999998</v>
      </c>
      <c r="AD21" s="25">
        <v>-166.11</v>
      </c>
      <c r="AE21" s="7">
        <v>-5942.63</v>
      </c>
      <c r="AF21" s="7">
        <v>-1189.46</v>
      </c>
      <c r="AG21" s="7">
        <f t="shared" si="4"/>
        <v>-7132.09</v>
      </c>
      <c r="AH21" s="7">
        <v>-324.73</v>
      </c>
      <c r="AI21" s="7">
        <v>-244</v>
      </c>
      <c r="AJ21" s="10">
        <f t="shared" si="5"/>
        <v>-26465.85</v>
      </c>
    </row>
    <row r="22" spans="1:36" ht="18.75" x14ac:dyDescent="0.3">
      <c r="A22" s="19" t="s">
        <v>220</v>
      </c>
      <c r="B22" s="7">
        <v>6403.54</v>
      </c>
      <c r="C22" s="7">
        <v>4217.3</v>
      </c>
      <c r="D22" s="7">
        <v>9525.5300000000007</v>
      </c>
      <c r="E22" s="7">
        <v>9135.7800000000007</v>
      </c>
      <c r="F22" s="7">
        <v>9816.24</v>
      </c>
      <c r="G22" s="7">
        <v>9209.8700000000008</v>
      </c>
      <c r="H22" s="7">
        <v>9378</v>
      </c>
      <c r="I22" s="7">
        <v>8834.6200000000008</v>
      </c>
      <c r="J22" s="7">
        <v>13453.51</v>
      </c>
      <c r="K22" s="7">
        <v>9378</v>
      </c>
      <c r="L22" s="7">
        <v>10104.050000000001</v>
      </c>
      <c r="M22" s="7">
        <v>12728.44</v>
      </c>
      <c r="N22" s="8">
        <f t="shared" si="0"/>
        <v>34295.32</v>
      </c>
      <c r="O22" s="8">
        <f t="shared" si="0"/>
        <v>32972.210000000006</v>
      </c>
      <c r="P22" s="8">
        <f t="shared" si="0"/>
        <v>44917.350000000006</v>
      </c>
      <c r="Q22" s="7"/>
      <c r="R22" s="7"/>
      <c r="S22" s="7"/>
      <c r="T22" s="8">
        <f t="shared" si="1"/>
        <v>34295.32</v>
      </c>
      <c r="U22" s="8">
        <f t="shared" si="1"/>
        <v>32972.210000000006</v>
      </c>
      <c r="V22" s="8">
        <f t="shared" si="1"/>
        <v>44917.350000000006</v>
      </c>
      <c r="W22" s="7">
        <v>9424.48</v>
      </c>
      <c r="X22" s="7">
        <v>6810.75</v>
      </c>
      <c r="Y22" s="7">
        <v>14035.89</v>
      </c>
      <c r="Z22" s="8">
        <f t="shared" si="2"/>
        <v>43719.8</v>
      </c>
      <c r="AA22" s="8">
        <f t="shared" si="2"/>
        <v>39782.960000000006</v>
      </c>
      <c r="AB22" s="8">
        <f t="shared" si="2"/>
        <v>58953.240000000005</v>
      </c>
      <c r="AC22" s="10">
        <f t="shared" si="3"/>
        <v>-19170.28</v>
      </c>
      <c r="AD22" s="25">
        <v>-329.72</v>
      </c>
      <c r="AE22" s="7"/>
      <c r="AF22" s="7"/>
      <c r="AG22" s="7">
        <f t="shared" si="4"/>
        <v>0</v>
      </c>
      <c r="AH22" s="7">
        <v>-344.75</v>
      </c>
      <c r="AI22" s="7"/>
      <c r="AJ22" s="10">
        <f t="shared" si="5"/>
        <v>-19844.75</v>
      </c>
    </row>
    <row r="23" spans="1:36" ht="18.75" x14ac:dyDescent="0.3">
      <c r="A23" s="19" t="s">
        <v>221</v>
      </c>
      <c r="B23" s="7">
        <v>8094.79</v>
      </c>
      <c r="C23" s="7">
        <v>5085.54</v>
      </c>
      <c r="D23" s="7">
        <v>12041.3</v>
      </c>
      <c r="E23" s="7">
        <v>11548.62</v>
      </c>
      <c r="F23" s="7">
        <v>7764.22</v>
      </c>
      <c r="G23" s="7">
        <v>11642.24</v>
      </c>
      <c r="H23" s="7">
        <v>11854.8</v>
      </c>
      <c r="I23" s="7">
        <v>8005.44</v>
      </c>
      <c r="J23" s="7">
        <v>17006.63</v>
      </c>
      <c r="K23" s="7">
        <v>11854.8</v>
      </c>
      <c r="L23" s="7">
        <v>8005.44</v>
      </c>
      <c r="M23" s="7">
        <v>16090.099999999999</v>
      </c>
      <c r="N23" s="8">
        <f t="shared" si="0"/>
        <v>43353.009999999995</v>
      </c>
      <c r="O23" s="8">
        <f t="shared" si="0"/>
        <v>28860.639999999999</v>
      </c>
      <c r="P23" s="8">
        <f t="shared" si="0"/>
        <v>56780.27</v>
      </c>
      <c r="Q23" s="7"/>
      <c r="R23" s="7"/>
      <c r="S23" s="7"/>
      <c r="T23" s="8">
        <f t="shared" si="1"/>
        <v>43353.009999999995</v>
      </c>
      <c r="U23" s="8">
        <f t="shared" si="1"/>
        <v>28860.639999999999</v>
      </c>
      <c r="V23" s="8">
        <f t="shared" si="1"/>
        <v>56780.27</v>
      </c>
      <c r="W23" s="7">
        <v>11913.52</v>
      </c>
      <c r="X23" s="7">
        <v>7554.8</v>
      </c>
      <c r="Y23" s="7">
        <v>17732.22</v>
      </c>
      <c r="Z23" s="8">
        <f t="shared" si="2"/>
        <v>55266.53</v>
      </c>
      <c r="AA23" s="8">
        <f t="shared" si="2"/>
        <v>36415.440000000002</v>
      </c>
      <c r="AB23" s="8">
        <f t="shared" si="2"/>
        <v>74512.489999999991</v>
      </c>
      <c r="AC23" s="10">
        <f t="shared" si="3"/>
        <v>-38097.049999999988</v>
      </c>
      <c r="AD23" s="25">
        <v>-288.61</v>
      </c>
      <c r="AE23" s="7">
        <v>-9077.25</v>
      </c>
      <c r="AF23" s="7"/>
      <c r="AG23" s="7">
        <f t="shared" si="4"/>
        <v>-9077.25</v>
      </c>
      <c r="AH23" s="7">
        <v>-435.8</v>
      </c>
      <c r="AI23" s="7">
        <v>-507</v>
      </c>
      <c r="AJ23" s="10">
        <f t="shared" si="5"/>
        <v>-48405.709999999992</v>
      </c>
    </row>
    <row r="24" spans="1:36" ht="18.75" x14ac:dyDescent="0.3">
      <c r="A24" s="19" t="s">
        <v>222</v>
      </c>
      <c r="B24" s="7">
        <v>6049.08</v>
      </c>
      <c r="C24" s="7">
        <v>5444.14</v>
      </c>
      <c r="D24" s="7">
        <v>9775.8700000000008</v>
      </c>
      <c r="E24" s="7">
        <v>10547.7</v>
      </c>
      <c r="F24" s="7">
        <v>9961.17</v>
      </c>
      <c r="G24" s="7">
        <v>10633.14</v>
      </c>
      <c r="H24" s="7">
        <v>11507.82</v>
      </c>
      <c r="I24" s="7">
        <v>11735.3</v>
      </c>
      <c r="J24" s="7">
        <v>15532.64</v>
      </c>
      <c r="K24" s="7">
        <v>10827.24</v>
      </c>
      <c r="L24" s="7">
        <v>11054.72</v>
      </c>
      <c r="M24" s="7">
        <v>14695.470000000001</v>
      </c>
      <c r="N24" s="8">
        <f t="shared" si="0"/>
        <v>38931.839999999997</v>
      </c>
      <c r="O24" s="8">
        <f t="shared" si="0"/>
        <v>38195.33</v>
      </c>
      <c r="P24" s="8">
        <f t="shared" si="0"/>
        <v>50637.120000000003</v>
      </c>
      <c r="Q24" s="7"/>
      <c r="R24" s="7"/>
      <c r="S24" s="7"/>
      <c r="T24" s="8">
        <f t="shared" si="1"/>
        <v>38931.839999999997</v>
      </c>
      <c r="U24" s="8">
        <f t="shared" si="1"/>
        <v>38195.33</v>
      </c>
      <c r="V24" s="8">
        <f t="shared" si="1"/>
        <v>50637.120000000003</v>
      </c>
      <c r="W24" s="7">
        <v>10880.88</v>
      </c>
      <c r="X24" s="7">
        <v>10854.06</v>
      </c>
      <c r="Y24" s="7">
        <v>16234.78</v>
      </c>
      <c r="Z24" s="8">
        <f t="shared" si="2"/>
        <v>49812.719999999994</v>
      </c>
      <c r="AA24" s="8">
        <f t="shared" si="2"/>
        <v>49049.39</v>
      </c>
      <c r="AB24" s="8">
        <f t="shared" si="2"/>
        <v>66871.900000000009</v>
      </c>
      <c r="AC24" s="10">
        <f t="shared" si="3"/>
        <v>-17822.510000000009</v>
      </c>
      <c r="AD24" s="25">
        <v>-381.95</v>
      </c>
      <c r="AE24" s="7"/>
      <c r="AF24" s="7"/>
      <c r="AG24" s="7">
        <f t="shared" si="4"/>
        <v>0</v>
      </c>
      <c r="AH24" s="7">
        <v>-398.03</v>
      </c>
      <c r="AI24" s="7"/>
      <c r="AJ24" s="10">
        <f t="shared" si="5"/>
        <v>-18602.490000000009</v>
      </c>
    </row>
    <row r="25" spans="1:36" ht="18.75" x14ac:dyDescent="0.3">
      <c r="A25" s="19" t="s">
        <v>223</v>
      </c>
      <c r="B25" s="7">
        <v>7136.58</v>
      </c>
      <c r="C25" s="7">
        <v>4826.6000000000004</v>
      </c>
      <c r="D25" s="7">
        <v>10615.95</v>
      </c>
      <c r="E25" s="7">
        <v>9224.7000000000007</v>
      </c>
      <c r="F25" s="7">
        <v>6832.31</v>
      </c>
      <c r="G25" s="7">
        <v>10264.15</v>
      </c>
      <c r="H25" s="7">
        <v>10098.040000000001</v>
      </c>
      <c r="I25" s="7">
        <v>45717.78</v>
      </c>
      <c r="J25" s="7">
        <v>14216.66</v>
      </c>
      <c r="K25" s="7">
        <v>9470.16</v>
      </c>
      <c r="L25" s="7">
        <v>7425.4999999999991</v>
      </c>
      <c r="M25" s="7">
        <v>14167.15</v>
      </c>
      <c r="N25" s="8">
        <f t="shared" si="0"/>
        <v>35929.479999999996</v>
      </c>
      <c r="O25" s="8">
        <f t="shared" si="0"/>
        <v>64802.19</v>
      </c>
      <c r="P25" s="8">
        <f t="shared" si="0"/>
        <v>49263.909999999996</v>
      </c>
      <c r="Q25" s="7"/>
      <c r="R25" s="7"/>
      <c r="S25" s="7"/>
      <c r="T25" s="8">
        <f t="shared" si="1"/>
        <v>35929.479999999996</v>
      </c>
      <c r="U25" s="8">
        <f t="shared" si="1"/>
        <v>64802.19</v>
      </c>
      <c r="V25" s="8">
        <f t="shared" si="1"/>
        <v>49263.909999999996</v>
      </c>
      <c r="W25" s="7">
        <v>9516.48</v>
      </c>
      <c r="X25" s="7">
        <v>7062.55</v>
      </c>
      <c r="Y25" s="7">
        <v>15618.97</v>
      </c>
      <c r="Z25" s="8">
        <f t="shared" si="2"/>
        <v>45445.959999999992</v>
      </c>
      <c r="AA25" s="8">
        <f t="shared" si="2"/>
        <v>71864.740000000005</v>
      </c>
      <c r="AB25" s="8">
        <f t="shared" si="2"/>
        <v>64882.879999999997</v>
      </c>
      <c r="AC25" s="10">
        <f t="shared" si="3"/>
        <v>6981.8600000000079</v>
      </c>
      <c r="AD25" s="25">
        <v>-648.02</v>
      </c>
      <c r="AE25" s="7">
        <v>-6033.17</v>
      </c>
      <c r="AF25" s="7">
        <v>-4693.71</v>
      </c>
      <c r="AG25" s="7">
        <f t="shared" si="4"/>
        <v>-10726.880000000001</v>
      </c>
      <c r="AH25" s="7">
        <v>-384.21</v>
      </c>
      <c r="AI25" s="7">
        <v>-432</v>
      </c>
      <c r="AJ25" s="10">
        <f t="shared" si="5"/>
        <v>-5209.2499999999936</v>
      </c>
    </row>
    <row r="26" spans="1:36" ht="18.75" x14ac:dyDescent="0.3">
      <c r="A26" s="69" t="s">
        <v>224</v>
      </c>
      <c r="B26" s="7">
        <v>5810.59</v>
      </c>
      <c r="C26" s="7">
        <v>1730.74</v>
      </c>
      <c r="D26" s="7">
        <v>6615.54</v>
      </c>
      <c r="E26" s="7">
        <v>16088.52</v>
      </c>
      <c r="F26" s="7">
        <v>16121.9</v>
      </c>
      <c r="G26" s="7">
        <v>8999.01</v>
      </c>
      <c r="H26" s="7">
        <v>16376.84</v>
      </c>
      <c r="I26" s="7">
        <v>-24217.45</v>
      </c>
      <c r="J26" s="7">
        <v>16797.68</v>
      </c>
      <c r="K26" s="7">
        <v>14340.12</v>
      </c>
      <c r="L26" s="7">
        <v>12547.69</v>
      </c>
      <c r="M26" s="7">
        <v>15941.910000000002</v>
      </c>
      <c r="N26" s="8">
        <f t="shared" si="0"/>
        <v>52616.07</v>
      </c>
      <c r="O26" s="8">
        <f t="shared" si="0"/>
        <v>6182.8799999999992</v>
      </c>
      <c r="P26" s="8">
        <f t="shared" si="0"/>
        <v>48354.14</v>
      </c>
      <c r="Q26" s="7"/>
      <c r="R26" s="7"/>
      <c r="S26" s="7"/>
      <c r="T26" s="8">
        <f t="shared" si="1"/>
        <v>52616.07</v>
      </c>
      <c r="U26" s="8">
        <f t="shared" si="1"/>
        <v>6182.8799999999992</v>
      </c>
      <c r="V26" s="8">
        <f t="shared" si="1"/>
        <v>48354.14</v>
      </c>
      <c r="W26" s="7">
        <v>10785.23</v>
      </c>
      <c r="X26" s="7">
        <v>9060.52</v>
      </c>
      <c r="Y26" s="7">
        <v>17512.04</v>
      </c>
      <c r="Z26" s="8">
        <f t="shared" si="2"/>
        <v>63401.3</v>
      </c>
      <c r="AA26" s="8">
        <f t="shared" si="2"/>
        <v>15243.4</v>
      </c>
      <c r="AB26" s="8">
        <f t="shared" si="2"/>
        <v>65866.179999999993</v>
      </c>
      <c r="AC26" s="10">
        <f t="shared" si="3"/>
        <v>-50622.779999999992</v>
      </c>
      <c r="AD26" s="25">
        <v>-61.83</v>
      </c>
      <c r="AE26" s="7">
        <v>-3754</v>
      </c>
      <c r="AF26" s="7">
        <v>-2058.9299999999998</v>
      </c>
      <c r="AG26" s="7">
        <f t="shared" si="4"/>
        <v>-5812.93</v>
      </c>
      <c r="AH26" s="7">
        <v>-336.86</v>
      </c>
      <c r="AI26" s="7">
        <v>-311</v>
      </c>
      <c r="AJ26" s="10">
        <f t="shared" si="5"/>
        <v>-57145.399999999994</v>
      </c>
    </row>
    <row r="27" spans="1:36" ht="18.75" x14ac:dyDescent="0.3">
      <c r="A27" s="98" t="s">
        <v>107</v>
      </c>
      <c r="B27" s="8">
        <f>SUM(B8:B26)</f>
        <v>314037.85000000003</v>
      </c>
      <c r="C27" s="8">
        <f>SUM(C8:C26)</f>
        <v>197680.53999999998</v>
      </c>
      <c r="D27" s="8">
        <f>SUM(D8:D26)</f>
        <v>402138.62999999995</v>
      </c>
      <c r="E27" s="8">
        <f t="shared" ref="E27:J27" si="6">SUM(E8:E26)</f>
        <v>824408.0199999999</v>
      </c>
      <c r="F27" s="8">
        <f t="shared" si="6"/>
        <v>660674.19999999995</v>
      </c>
      <c r="G27" s="8">
        <f t="shared" si="6"/>
        <v>662856.74000000011</v>
      </c>
      <c r="H27" s="8">
        <f t="shared" si="6"/>
        <v>862998.19000000006</v>
      </c>
      <c r="I27" s="8">
        <f t="shared" si="6"/>
        <v>733820.07000000007</v>
      </c>
      <c r="J27" s="8">
        <f t="shared" si="6"/>
        <v>821272.41000000015</v>
      </c>
      <c r="K27" s="7">
        <v>850146.87000000011</v>
      </c>
      <c r="L27" s="7">
        <v>826685.10613102966</v>
      </c>
      <c r="M27" s="7">
        <v>755243.29000000015</v>
      </c>
      <c r="N27" s="8">
        <f>B27+E27+H27+K27</f>
        <v>2851590.93</v>
      </c>
      <c r="O27" s="8">
        <f t="shared" ref="O27:P27" si="7">C27+F27+I27+L27</f>
        <v>2418859.9161310298</v>
      </c>
      <c r="P27" s="8">
        <f t="shared" si="7"/>
        <v>2641511.0700000003</v>
      </c>
      <c r="Q27" s="8">
        <f>SUM(Q8:Q26)</f>
        <v>786172.21</v>
      </c>
      <c r="R27" s="8">
        <f>SUM(R8:R26)</f>
        <v>712652.79999999993</v>
      </c>
      <c r="S27" s="8">
        <f>SUM(S8:S26)</f>
        <v>197458.26</v>
      </c>
      <c r="T27" s="8">
        <f t="shared" si="1"/>
        <v>3637763.14</v>
      </c>
      <c r="U27" s="8">
        <f t="shared" si="1"/>
        <v>3131512.7161310297</v>
      </c>
      <c r="V27" s="8">
        <f t="shared" si="1"/>
        <v>2838969.33</v>
      </c>
      <c r="W27" s="7">
        <f t="shared" ref="W27:AB27" si="8">SUM(W8:W26)</f>
        <v>1116336.0699999998</v>
      </c>
      <c r="X27" s="7">
        <f t="shared" si="8"/>
        <v>1013147.6100000001</v>
      </c>
      <c r="Y27" s="7">
        <f t="shared" si="8"/>
        <v>983316.9600000002</v>
      </c>
      <c r="Z27" s="8">
        <f t="shared" si="8"/>
        <v>4754099.209999999</v>
      </c>
      <c r="AA27" s="8">
        <f t="shared" si="8"/>
        <v>4144660.3261310305</v>
      </c>
      <c r="AB27" s="8">
        <f t="shared" si="8"/>
        <v>3822286.2899999991</v>
      </c>
      <c r="AC27" s="10">
        <f t="shared" si="3"/>
        <v>322374.03613103135</v>
      </c>
      <c r="AD27" s="25">
        <f t="shared" ref="AD27:AJ27" si="9">SUM(AD8:AD26)</f>
        <v>-31315.110000000008</v>
      </c>
      <c r="AE27" s="7">
        <f t="shared" si="9"/>
        <v>-102304.35</v>
      </c>
      <c r="AF27" s="7">
        <f t="shared" si="9"/>
        <v>-107050.65000000001</v>
      </c>
      <c r="AG27" s="7">
        <f t="shared" si="4"/>
        <v>-209355</v>
      </c>
      <c r="AH27" s="7">
        <f t="shared" si="9"/>
        <v>-17623.629999999997</v>
      </c>
      <c r="AI27" s="7">
        <f t="shared" si="9"/>
        <v>-19366.46</v>
      </c>
      <c r="AJ27" s="10">
        <f t="shared" si="9"/>
        <v>44713.83613103001</v>
      </c>
    </row>
    <row r="28" spans="1:36" x14ac:dyDescent="0.25">
      <c r="A28" s="97"/>
    </row>
  </sheetData>
  <mergeCells count="20">
    <mergeCell ref="AC5:AC7"/>
    <mergeCell ref="AD5:AI5"/>
    <mergeCell ref="Z6:AB6"/>
    <mergeCell ref="AD6:AD7"/>
    <mergeCell ref="AE6:AE7"/>
    <mergeCell ref="N6:P6"/>
    <mergeCell ref="Q6:S6"/>
    <mergeCell ref="T6:V6"/>
    <mergeCell ref="W6:Y6"/>
    <mergeCell ref="Z5:AB5"/>
    <mergeCell ref="A6:A7"/>
    <mergeCell ref="B6:D6"/>
    <mergeCell ref="E6:G6"/>
    <mergeCell ref="H6:J6"/>
    <mergeCell ref="K6:M6"/>
    <mergeCell ref="AF6:AF7"/>
    <mergeCell ref="AG6:AG7"/>
    <mergeCell ref="AH6:AH7"/>
    <mergeCell ref="AI6:AI7"/>
    <mergeCell ref="AJ5:A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КРИВКО</vt:lpstr>
      <vt:lpstr>СОСНОВО</vt:lpstr>
      <vt:lpstr>СНЕГИРЕВКА</vt:lpstr>
      <vt:lpstr>ПЕТРОВСКОЕ</vt:lpstr>
      <vt:lpstr>ПЛОДОВОЕ</vt:lpstr>
      <vt:lpstr>СОЛОВЬЕВКА</vt:lpstr>
      <vt:lpstr>ТРАКТОРНОЕ</vt:lpstr>
      <vt:lpstr>РОМАШКИ</vt:lpstr>
      <vt:lpstr>ПОНТОННОЕ</vt:lpstr>
      <vt:lpstr>СУХОДОЛЬЕ</vt:lpstr>
      <vt:lpstr>ГОРБУНКИ</vt:lpstr>
      <vt:lpstr>РАЗБЕГАЕВО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2021-03-26T11:14:44Z</dcterms:created>
  <dcterms:modified xsi:type="dcterms:W3CDTF">2021-03-31T12:23:41Z</dcterms:modified>
</cp:coreProperties>
</file>