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190" tabRatio="631" firstSheet="9" activeTab="10"/>
  </bookViews>
  <sheets>
    <sheet name="Сосново за  2018год" sheetId="39" r:id="rId1"/>
    <sheet name="Суходолье за 2018год" sheetId="40" r:id="rId2"/>
    <sheet name="Понтонное  за 2018г." sheetId="42" r:id="rId3"/>
    <sheet name="Кривко 2018г." sheetId="14" r:id="rId4"/>
    <sheet name="Плодовое 2018год" sheetId="45" r:id="rId5"/>
    <sheet name="Ромашки 2018год" sheetId="20" r:id="rId6"/>
    <sheet name="Петровское 2018год" sheetId="47" r:id="rId7"/>
    <sheet name="Тракторное 2018год" sheetId="48" r:id="rId8"/>
    <sheet name="Плодовское поселение 2018г." sheetId="28" r:id="rId9"/>
    <sheet name="Снегиревка 2018г" sheetId="51" r:id="rId10"/>
    <sheet name="Горбунки 2018г" sheetId="52" r:id="rId11"/>
    <sheet name="Разбегаево 2018г." sheetId="53" r:id="rId12"/>
  </sheets>
  <calcPr calcId="152511"/>
</workbook>
</file>

<file path=xl/calcChain.xml><?xml version="1.0" encoding="utf-8"?>
<calcChain xmlns="http://schemas.openxmlformats.org/spreadsheetml/2006/main">
  <c r="F40" i="52" l="1"/>
  <c r="E36" i="52"/>
  <c r="H32" i="52"/>
  <c r="B32" i="52"/>
  <c r="H31" i="52"/>
  <c r="G31" i="52"/>
  <c r="E31" i="52"/>
  <c r="H30" i="52"/>
  <c r="G30" i="52"/>
  <c r="E30" i="52"/>
  <c r="H29" i="52"/>
  <c r="G29" i="52"/>
  <c r="E29" i="52"/>
  <c r="F28" i="52"/>
  <c r="H27" i="52"/>
  <c r="G27" i="52"/>
  <c r="G32" i="52" s="1"/>
  <c r="E27" i="52"/>
  <c r="E32" i="52" s="1"/>
  <c r="J21" i="52"/>
  <c r="I21" i="52"/>
  <c r="H21" i="52"/>
  <c r="B21" i="52"/>
  <c r="G20" i="52"/>
  <c r="E20" i="52"/>
  <c r="G19" i="52"/>
  <c r="E19" i="52"/>
  <c r="G18" i="52"/>
  <c r="E18" i="52"/>
  <c r="E21" i="52" s="1"/>
  <c r="G17" i="52"/>
  <c r="F17" i="52"/>
  <c r="G16" i="52"/>
  <c r="G21" i="52" s="1"/>
  <c r="E16" i="52"/>
  <c r="U10" i="52"/>
  <c r="S10" i="52"/>
  <c r="R10" i="52"/>
  <c r="Q10" i="52"/>
  <c r="P10" i="52"/>
  <c r="O10" i="52"/>
  <c r="N10" i="52"/>
  <c r="M10" i="52"/>
  <c r="L10" i="52"/>
  <c r="K10" i="52" s="1"/>
  <c r="H10" i="52"/>
  <c r="G10" i="52"/>
  <c r="B10" i="52"/>
  <c r="B11" i="52" s="1"/>
  <c r="U9" i="52"/>
  <c r="K9" i="52" s="1"/>
  <c r="I9" i="52"/>
  <c r="E39" i="52" s="1"/>
  <c r="G39" i="52" s="1"/>
  <c r="F9" i="52" s="1"/>
  <c r="E9" i="52"/>
  <c r="U8" i="52"/>
  <c r="K8" i="52"/>
  <c r="E8" i="52"/>
  <c r="I8" i="52" s="1"/>
  <c r="U7" i="52"/>
  <c r="K7" i="52" s="1"/>
  <c r="I7" i="52"/>
  <c r="E7" i="52"/>
  <c r="K6" i="52"/>
  <c r="J6" i="52"/>
  <c r="U5" i="52"/>
  <c r="K5" i="52" s="1"/>
  <c r="I5" i="52"/>
  <c r="E5" i="52"/>
  <c r="J7" i="52" l="1"/>
  <c r="F20" i="52"/>
  <c r="F31" i="52"/>
  <c r="E38" i="52"/>
  <c r="G38" i="52" s="1"/>
  <c r="F19" i="52" s="1"/>
  <c r="E37" i="52"/>
  <c r="G37" i="52" s="1"/>
  <c r="F29" i="52" s="1"/>
  <c r="J9" i="52"/>
  <c r="E10" i="52"/>
  <c r="I10" i="52" s="1"/>
  <c r="E35" i="52"/>
  <c r="L31" i="53"/>
  <c r="K31" i="53"/>
  <c r="J31" i="53"/>
  <c r="D31" i="53"/>
  <c r="B31" i="53"/>
  <c r="J30" i="53"/>
  <c r="H30" i="53"/>
  <c r="I30" i="53" s="1"/>
  <c r="G30" i="53"/>
  <c r="E30" i="53"/>
  <c r="D30" i="53"/>
  <c r="J29" i="53"/>
  <c r="G29" i="53"/>
  <c r="E29" i="53"/>
  <c r="H29" i="53" s="1"/>
  <c r="I29" i="53" s="1"/>
  <c r="D29" i="53"/>
  <c r="J28" i="53"/>
  <c r="H28" i="53"/>
  <c r="I28" i="53" s="1"/>
  <c r="G28" i="53"/>
  <c r="E28" i="53"/>
  <c r="D28" i="53"/>
  <c r="J27" i="53"/>
  <c r="G27" i="53"/>
  <c r="E27" i="53"/>
  <c r="H27" i="53" s="1"/>
  <c r="I27" i="53" s="1"/>
  <c r="D27" i="53"/>
  <c r="J26" i="53"/>
  <c r="H26" i="53"/>
  <c r="G26" i="53"/>
  <c r="G31" i="53" s="1"/>
  <c r="E26" i="53"/>
  <c r="D26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B21" i="53"/>
  <c r="J20" i="53"/>
  <c r="G20" i="53"/>
  <c r="D20" i="53"/>
  <c r="H20" i="53" s="1"/>
  <c r="I20" i="53" s="1"/>
  <c r="J19" i="53"/>
  <c r="G19" i="53"/>
  <c r="D19" i="53"/>
  <c r="H19" i="53" s="1"/>
  <c r="I19" i="53" s="1"/>
  <c r="J18" i="53"/>
  <c r="H18" i="53"/>
  <c r="I18" i="53" s="1"/>
  <c r="G18" i="53"/>
  <c r="D18" i="53"/>
  <c r="J17" i="53"/>
  <c r="G17" i="53"/>
  <c r="E17" i="53"/>
  <c r="D17" i="53"/>
  <c r="H17" i="53" s="1"/>
  <c r="I17" i="53" s="1"/>
  <c r="K16" i="53"/>
  <c r="J16" i="53"/>
  <c r="J21" i="53" s="1"/>
  <c r="H16" i="53"/>
  <c r="I16" i="53" s="1"/>
  <c r="G16" i="53"/>
  <c r="G21" i="53" s="1"/>
  <c r="E16" i="53"/>
  <c r="D16" i="53"/>
  <c r="V10" i="53"/>
  <c r="U10" i="53"/>
  <c r="T10" i="53"/>
  <c r="S10" i="53"/>
  <c r="R10" i="53"/>
  <c r="Q10" i="53"/>
  <c r="P10" i="53"/>
  <c r="K10" i="53"/>
  <c r="J10" i="53"/>
  <c r="B10" i="53"/>
  <c r="Y9" i="53"/>
  <c r="X9" i="53"/>
  <c r="W9" i="53"/>
  <c r="O9" i="53"/>
  <c r="N9" i="53" s="1"/>
  <c r="G9" i="53"/>
  <c r="D9" i="53"/>
  <c r="H9" i="53" s="1"/>
  <c r="Y8" i="53"/>
  <c r="X8" i="53"/>
  <c r="W8" i="53"/>
  <c r="O8" i="53"/>
  <c r="N8" i="53"/>
  <c r="H8" i="53"/>
  <c r="L8" i="53" s="1"/>
  <c r="G8" i="53"/>
  <c r="D8" i="53"/>
  <c r="Y7" i="53"/>
  <c r="X7" i="53"/>
  <c r="W7" i="53"/>
  <c r="O7" i="53"/>
  <c r="O10" i="53" s="1"/>
  <c r="G7" i="53"/>
  <c r="G10" i="53" s="1"/>
  <c r="D7" i="53"/>
  <c r="Y6" i="53"/>
  <c r="X6" i="53"/>
  <c r="W6" i="53"/>
  <c r="N6" i="53" s="1"/>
  <c r="O6" i="53"/>
  <c r="G6" i="53"/>
  <c r="E6" i="53"/>
  <c r="H6" i="53" s="1"/>
  <c r="D6" i="53"/>
  <c r="Y5" i="53"/>
  <c r="Y10" i="53" s="1"/>
  <c r="X5" i="53"/>
  <c r="X10" i="53" s="1"/>
  <c r="W5" i="53"/>
  <c r="W10" i="53" s="1"/>
  <c r="O5" i="53"/>
  <c r="G5" i="53"/>
  <c r="E5" i="53"/>
  <c r="H5" i="53" s="1"/>
  <c r="D5" i="53"/>
  <c r="D10" i="53" s="1"/>
  <c r="H10" i="53" s="1"/>
  <c r="L10" i="53" s="1"/>
  <c r="F8" i="52" l="1"/>
  <c r="J8" i="52"/>
  <c r="E40" i="52"/>
  <c r="G35" i="52"/>
  <c r="F7" i="52"/>
  <c r="F18" i="52"/>
  <c r="F30" i="52"/>
  <c r="I6" i="53"/>
  <c r="M6" i="53" s="1"/>
  <c r="L6" i="53"/>
  <c r="L9" i="53"/>
  <c r="I9" i="53"/>
  <c r="M9" i="53" s="1"/>
  <c r="I5" i="53"/>
  <c r="L5" i="53"/>
  <c r="B34" i="53" s="1"/>
  <c r="I21" i="53"/>
  <c r="N10" i="53"/>
  <c r="H31" i="53"/>
  <c r="H7" i="53"/>
  <c r="N7" i="53"/>
  <c r="I8" i="53"/>
  <c r="M8" i="53" s="1"/>
  <c r="I26" i="53"/>
  <c r="I31" i="53" s="1"/>
  <c r="N5" i="53"/>
  <c r="D21" i="53"/>
  <c r="H21" i="53" s="1"/>
  <c r="F16" i="52" l="1"/>
  <c r="F21" i="52" s="1"/>
  <c r="F5" i="52"/>
  <c r="F10" i="52" s="1"/>
  <c r="F27" i="52"/>
  <c r="F32" i="52" s="1"/>
  <c r="J5" i="52"/>
  <c r="J10" i="52" s="1"/>
  <c r="L7" i="53"/>
  <c r="I7" i="53"/>
  <c r="M7" i="53" s="1"/>
  <c r="M5" i="53"/>
  <c r="C34" i="53" s="1"/>
  <c r="S74" i="51"/>
  <c r="R74" i="51"/>
  <c r="Q74" i="51"/>
  <c r="P74" i="51"/>
  <c r="O74" i="51"/>
  <c r="N74" i="51"/>
  <c r="K74" i="51"/>
  <c r="H74" i="51"/>
  <c r="F74" i="51"/>
  <c r="E74" i="51"/>
  <c r="I73" i="51"/>
  <c r="J73" i="51" s="1"/>
  <c r="T72" i="51"/>
  <c r="G72" i="51"/>
  <c r="J71" i="51"/>
  <c r="I71" i="51"/>
  <c r="G70" i="51"/>
  <c r="I69" i="51"/>
  <c r="J69" i="51" s="1"/>
  <c r="T68" i="51"/>
  <c r="G68" i="51"/>
  <c r="I67" i="51"/>
  <c r="J67" i="51" s="1"/>
  <c r="T66" i="51"/>
  <c r="G66" i="51"/>
  <c r="I65" i="51"/>
  <c r="J65" i="51" s="1"/>
  <c r="I64" i="51"/>
  <c r="J64" i="51" s="1"/>
  <c r="T63" i="51"/>
  <c r="G63" i="51"/>
  <c r="T62" i="51"/>
  <c r="G62" i="51"/>
  <c r="T61" i="51"/>
  <c r="I61" i="51"/>
  <c r="J61" i="51" s="1"/>
  <c r="J60" i="51"/>
  <c r="I60" i="51"/>
  <c r="I59" i="51"/>
  <c r="J59" i="51" s="1"/>
  <c r="T58" i="51"/>
  <c r="O58" i="51"/>
  <c r="G58" i="51"/>
  <c r="T57" i="51"/>
  <c r="G57" i="51"/>
  <c r="M56" i="51"/>
  <c r="M74" i="51" s="1"/>
  <c r="G56" i="51"/>
  <c r="T55" i="51"/>
  <c r="G55" i="51"/>
  <c r="L54" i="51"/>
  <c r="T54" i="51" s="1"/>
  <c r="G54" i="51"/>
  <c r="T53" i="51"/>
  <c r="G53" i="51"/>
  <c r="L52" i="51"/>
  <c r="G52" i="51"/>
  <c r="G74" i="51" s="1"/>
  <c r="AI37" i="51"/>
  <c r="AG37" i="51"/>
  <c r="AE37" i="51"/>
  <c r="AC37" i="51"/>
  <c r="Z37" i="51"/>
  <c r="V37" i="51"/>
  <c r="U37" i="51"/>
  <c r="T37" i="51"/>
  <c r="S37" i="51"/>
  <c r="P37" i="51"/>
  <c r="O37" i="51"/>
  <c r="L37" i="51"/>
  <c r="G37" i="51"/>
  <c r="F37" i="51"/>
  <c r="AL37" i="51" s="1"/>
  <c r="E37" i="51"/>
  <c r="AL36" i="51"/>
  <c r="AK36" i="51"/>
  <c r="AJ36" i="51"/>
  <c r="AF36" i="51"/>
  <c r="AD36" i="51"/>
  <c r="AB36" i="51"/>
  <c r="Y36" i="51"/>
  <c r="X36" i="51"/>
  <c r="K36" i="51"/>
  <c r="W36" i="51" s="1"/>
  <c r="AN35" i="51"/>
  <c r="AM35" i="51"/>
  <c r="AL35" i="51"/>
  <c r="AK35" i="51"/>
  <c r="AJ35" i="51"/>
  <c r="AF35" i="51"/>
  <c r="AD35" i="51"/>
  <c r="AB35" i="51"/>
  <c r="Y35" i="51"/>
  <c r="R35" i="51"/>
  <c r="M35" i="51"/>
  <c r="I35" i="51"/>
  <c r="H35" i="51"/>
  <c r="J35" i="51" s="1"/>
  <c r="K35" i="51" s="1"/>
  <c r="W35" i="51" s="1"/>
  <c r="AL34" i="51"/>
  <c r="AK34" i="51"/>
  <c r="AJ34" i="51"/>
  <c r="AF34" i="51"/>
  <c r="Y34" i="51" s="1"/>
  <c r="AD34" i="51"/>
  <c r="AB34" i="51"/>
  <c r="X34" i="51"/>
  <c r="K34" i="51"/>
  <c r="W34" i="51" s="1"/>
  <c r="AN33" i="51"/>
  <c r="AL33" i="51"/>
  <c r="Y33" i="51" s="1"/>
  <c r="AK33" i="51"/>
  <c r="AJ33" i="51"/>
  <c r="AH33" i="51"/>
  <c r="AF33" i="51"/>
  <c r="AD33" i="51"/>
  <c r="AB33" i="51"/>
  <c r="J33" i="51"/>
  <c r="K33" i="51" s="1"/>
  <c r="I33" i="51"/>
  <c r="H33" i="51"/>
  <c r="AL32" i="51"/>
  <c r="AK32" i="51"/>
  <c r="AJ32" i="51"/>
  <c r="AF32" i="51"/>
  <c r="AD32" i="51"/>
  <c r="AB32" i="51"/>
  <c r="Y32" i="51" s="1"/>
  <c r="X32" i="51"/>
  <c r="K32" i="51"/>
  <c r="W32" i="51" s="1"/>
  <c r="AN31" i="51"/>
  <c r="AL31" i="51"/>
  <c r="AK31" i="51"/>
  <c r="AJ31" i="51"/>
  <c r="AH31" i="51"/>
  <c r="AF31" i="51"/>
  <c r="AD31" i="51"/>
  <c r="AB31" i="51"/>
  <c r="Y31" i="51" s="1"/>
  <c r="M31" i="51"/>
  <c r="I31" i="51"/>
  <c r="H31" i="51"/>
  <c r="J31" i="51" s="1"/>
  <c r="K31" i="51" s="1"/>
  <c r="W31" i="51" s="1"/>
  <c r="AL30" i="51"/>
  <c r="AK30" i="51"/>
  <c r="AJ30" i="51"/>
  <c r="AF30" i="51"/>
  <c r="Y30" i="51" s="1"/>
  <c r="AD30" i="51"/>
  <c r="AB30" i="51"/>
  <c r="X30" i="51"/>
  <c r="K30" i="51"/>
  <c r="W30" i="51" s="1"/>
  <c r="AL29" i="51"/>
  <c r="AK29" i="51"/>
  <c r="AJ29" i="51"/>
  <c r="AH29" i="51"/>
  <c r="AF29" i="51"/>
  <c r="AD29" i="51"/>
  <c r="Y29" i="51" s="1"/>
  <c r="AB29" i="51"/>
  <c r="I29" i="51"/>
  <c r="J29" i="51" s="1"/>
  <c r="K29" i="51" s="1"/>
  <c r="M29" i="51" s="1"/>
  <c r="H29" i="51"/>
  <c r="AL28" i="51"/>
  <c r="AK28" i="51"/>
  <c r="AJ28" i="51"/>
  <c r="AF28" i="51"/>
  <c r="AD28" i="51"/>
  <c r="AB28" i="51"/>
  <c r="Y28" i="51"/>
  <c r="X28" i="51"/>
  <c r="K28" i="51"/>
  <c r="W28" i="51" s="1"/>
  <c r="AL27" i="51"/>
  <c r="AK27" i="51"/>
  <c r="AJ27" i="51"/>
  <c r="AF27" i="51"/>
  <c r="AD27" i="51"/>
  <c r="Y27" i="51" s="1"/>
  <c r="AB27" i="51"/>
  <c r="X27" i="51"/>
  <c r="W27" i="51"/>
  <c r="K27" i="51"/>
  <c r="AN26" i="51"/>
  <c r="AL26" i="51"/>
  <c r="AK26" i="51"/>
  <c r="AJ26" i="51"/>
  <c r="AH26" i="51"/>
  <c r="AF26" i="51"/>
  <c r="AD26" i="51"/>
  <c r="Y26" i="51" s="1"/>
  <c r="AB26" i="51"/>
  <c r="I26" i="51"/>
  <c r="J26" i="51" s="1"/>
  <c r="K26" i="51" s="1"/>
  <c r="M26" i="51" s="1"/>
  <c r="H26" i="51"/>
  <c r="AN25" i="51"/>
  <c r="AL25" i="51"/>
  <c r="AK25" i="51"/>
  <c r="AJ25" i="51"/>
  <c r="AH25" i="51"/>
  <c r="AF25" i="51"/>
  <c r="AD25" i="51"/>
  <c r="Y25" i="51" s="1"/>
  <c r="AB25" i="51"/>
  <c r="I25" i="51"/>
  <c r="J25" i="51" s="1"/>
  <c r="K25" i="51" s="1"/>
  <c r="M25" i="51" s="1"/>
  <c r="H25" i="51"/>
  <c r="AL24" i="51"/>
  <c r="AK24" i="51"/>
  <c r="AJ24" i="51"/>
  <c r="AH24" i="51"/>
  <c r="AF24" i="51"/>
  <c r="AD24" i="51"/>
  <c r="AB24" i="51"/>
  <c r="Y24" i="51" s="1"/>
  <c r="X24" i="51"/>
  <c r="K24" i="51"/>
  <c r="W24" i="51" s="1"/>
  <c r="AL23" i="51"/>
  <c r="AK23" i="51"/>
  <c r="AJ23" i="51"/>
  <c r="AF23" i="51"/>
  <c r="Y23" i="51" s="1"/>
  <c r="AD23" i="51"/>
  <c r="AB23" i="51"/>
  <c r="X23" i="51"/>
  <c r="K23" i="51"/>
  <c r="W23" i="51" s="1"/>
  <c r="AL22" i="51"/>
  <c r="AK22" i="51"/>
  <c r="AJ22" i="51"/>
  <c r="AH22" i="51"/>
  <c r="AF22" i="51"/>
  <c r="AD22" i="51"/>
  <c r="Y22" i="51" s="1"/>
  <c r="AB22" i="51"/>
  <c r="X22" i="51"/>
  <c r="W22" i="51"/>
  <c r="K22" i="51"/>
  <c r="AN21" i="51"/>
  <c r="AL21" i="51"/>
  <c r="AK21" i="51"/>
  <c r="AJ21" i="51"/>
  <c r="AF21" i="51"/>
  <c r="AD21" i="51"/>
  <c r="AB21" i="51"/>
  <c r="Y21" i="51" s="1"/>
  <c r="R21" i="51"/>
  <c r="Q21" i="51"/>
  <c r="J21" i="51"/>
  <c r="K21" i="51" s="1"/>
  <c r="I21" i="51"/>
  <c r="H21" i="51"/>
  <c r="AN20" i="51"/>
  <c r="AL20" i="51"/>
  <c r="AK20" i="51"/>
  <c r="AJ20" i="51"/>
  <c r="AF20" i="51"/>
  <c r="AD20" i="51"/>
  <c r="Y20" i="51" s="1"/>
  <c r="AB20" i="51"/>
  <c r="R20" i="51"/>
  <c r="Q20" i="51"/>
  <c r="Q37" i="51" s="1"/>
  <c r="I20" i="51"/>
  <c r="H20" i="51"/>
  <c r="J20" i="51" s="1"/>
  <c r="K20" i="51" s="1"/>
  <c r="AN19" i="51"/>
  <c r="AN37" i="51" s="1"/>
  <c r="AM19" i="51"/>
  <c r="AL19" i="51"/>
  <c r="AK19" i="51"/>
  <c r="AJ19" i="51"/>
  <c r="AF19" i="51"/>
  <c r="AD19" i="51"/>
  <c r="AB19" i="51"/>
  <c r="Y19" i="51"/>
  <c r="R19" i="51"/>
  <c r="I19" i="51"/>
  <c r="H19" i="51"/>
  <c r="J19" i="51" s="1"/>
  <c r="K19" i="51" s="1"/>
  <c r="W19" i="51" s="1"/>
  <c r="AN18" i="51"/>
  <c r="AM18" i="51"/>
  <c r="AL18" i="51"/>
  <c r="AK18" i="51"/>
  <c r="AJ18" i="51"/>
  <c r="AF18" i="51"/>
  <c r="AD18" i="51"/>
  <c r="AB18" i="51"/>
  <c r="Y18" i="51" s="1"/>
  <c r="R18" i="51"/>
  <c r="I18" i="51"/>
  <c r="J18" i="51" s="1"/>
  <c r="K18" i="51" s="1"/>
  <c r="H18" i="51"/>
  <c r="AN17" i="51"/>
  <c r="AM17" i="51"/>
  <c r="AL17" i="51"/>
  <c r="Y17" i="51" s="1"/>
  <c r="AK17" i="51"/>
  <c r="AJ17" i="51"/>
  <c r="AH17" i="51"/>
  <c r="AF17" i="51"/>
  <c r="AD17" i="51"/>
  <c r="AB17" i="51"/>
  <c r="J17" i="51"/>
  <c r="K17" i="51" s="1"/>
  <c r="I17" i="51"/>
  <c r="H17" i="51"/>
  <c r="AN16" i="51"/>
  <c r="AM16" i="51"/>
  <c r="AL16" i="51"/>
  <c r="AK16" i="51"/>
  <c r="AJ16" i="51"/>
  <c r="AH16" i="51"/>
  <c r="AF16" i="51"/>
  <c r="AD16" i="51"/>
  <c r="AB16" i="51"/>
  <c r="Y16" i="51"/>
  <c r="R16" i="51"/>
  <c r="M16" i="51"/>
  <c r="I16" i="51"/>
  <c r="H16" i="51"/>
  <c r="J16" i="51" s="1"/>
  <c r="K16" i="51" s="1"/>
  <c r="W16" i="51" s="1"/>
  <c r="AN15" i="51"/>
  <c r="AM15" i="51"/>
  <c r="AM37" i="51" s="1"/>
  <c r="AL15" i="51"/>
  <c r="AK15" i="51"/>
  <c r="AJ15" i="51"/>
  <c r="AH15" i="51"/>
  <c r="AH37" i="51" s="1"/>
  <c r="AF15" i="51"/>
  <c r="AD15" i="51"/>
  <c r="Y15" i="51" s="1"/>
  <c r="AB15" i="51"/>
  <c r="W15" i="51"/>
  <c r="R15" i="51"/>
  <c r="J15" i="51"/>
  <c r="K15" i="51" s="1"/>
  <c r="M15" i="51" s="1"/>
  <c r="I15" i="51"/>
  <c r="I37" i="51" s="1"/>
  <c r="H15" i="51"/>
  <c r="H37" i="51" s="1"/>
  <c r="AL14" i="51"/>
  <c r="AK14" i="51"/>
  <c r="AJ14" i="51"/>
  <c r="AF14" i="51"/>
  <c r="AD14" i="51"/>
  <c r="AB14" i="51"/>
  <c r="Y14" i="51" s="1"/>
  <c r="X14" i="51"/>
  <c r="K14" i="51"/>
  <c r="W14" i="51" s="1"/>
  <c r="AL13" i="51"/>
  <c r="AK13" i="51"/>
  <c r="AJ13" i="51"/>
  <c r="AF13" i="51"/>
  <c r="Y13" i="51" s="1"/>
  <c r="AD13" i="51"/>
  <c r="AB13" i="51"/>
  <c r="X13" i="51"/>
  <c r="K13" i="51"/>
  <c r="W13" i="51" s="1"/>
  <c r="AL12" i="51"/>
  <c r="AK12" i="51"/>
  <c r="AJ12" i="51"/>
  <c r="AF12" i="51"/>
  <c r="AD12" i="51"/>
  <c r="AB12" i="51"/>
  <c r="Y12" i="51" s="1"/>
  <c r="X12" i="51"/>
  <c r="W12" i="51"/>
  <c r="K12" i="51"/>
  <c r="AL11" i="51"/>
  <c r="AK11" i="51"/>
  <c r="AJ11" i="51"/>
  <c r="AF11" i="51"/>
  <c r="AD11" i="51"/>
  <c r="AB11" i="51"/>
  <c r="Y11" i="51"/>
  <c r="X11" i="51"/>
  <c r="K11" i="51"/>
  <c r="W11" i="51" s="1"/>
  <c r="AL10" i="51"/>
  <c r="AK10" i="51"/>
  <c r="AJ10" i="51"/>
  <c r="AF10" i="51"/>
  <c r="AD10" i="51"/>
  <c r="AB10" i="51"/>
  <c r="Y10" i="51" s="1"/>
  <c r="X10" i="51"/>
  <c r="K10" i="51"/>
  <c r="W10" i="51" s="1"/>
  <c r="AL9" i="51"/>
  <c r="AK9" i="51"/>
  <c r="AJ9" i="51"/>
  <c r="AF9" i="51"/>
  <c r="Y9" i="51" s="1"/>
  <c r="AD9" i="51"/>
  <c r="AB9" i="51"/>
  <c r="X9" i="51"/>
  <c r="K9" i="51"/>
  <c r="W9" i="51" s="1"/>
  <c r="AL8" i="51"/>
  <c r="AK8" i="51"/>
  <c r="AJ8" i="51"/>
  <c r="AF8" i="51"/>
  <c r="AD8" i="51"/>
  <c r="AB8" i="51"/>
  <c r="Y8" i="51" s="1"/>
  <c r="X8" i="51"/>
  <c r="W8" i="51"/>
  <c r="K8" i="51"/>
  <c r="AL7" i="51"/>
  <c r="AK7" i="51"/>
  <c r="AJ7" i="51"/>
  <c r="AJ37" i="51" s="1"/>
  <c r="AF7" i="51"/>
  <c r="AD7" i="51"/>
  <c r="AB7" i="51"/>
  <c r="Y7" i="51"/>
  <c r="X7" i="51"/>
  <c r="K7" i="51"/>
  <c r="W7" i="51" s="1"/>
  <c r="I10" i="53" l="1"/>
  <c r="M10" i="53" s="1"/>
  <c r="M20" i="51"/>
  <c r="W20" i="51"/>
  <c r="Y37" i="51"/>
  <c r="M21" i="51"/>
  <c r="W21" i="51"/>
  <c r="M33" i="51"/>
  <c r="W33" i="51"/>
  <c r="I72" i="51"/>
  <c r="J72" i="51" s="1"/>
  <c r="X35" i="51"/>
  <c r="T74" i="51"/>
  <c r="I63" i="51"/>
  <c r="J63" i="51" s="1"/>
  <c r="X26" i="51"/>
  <c r="AB37" i="51"/>
  <c r="I52" i="51"/>
  <c r="J52" i="51" s="1"/>
  <c r="X15" i="51"/>
  <c r="R37" i="51"/>
  <c r="W25" i="51"/>
  <c r="W29" i="51"/>
  <c r="J37" i="51"/>
  <c r="I53" i="51"/>
  <c r="J53" i="51" s="1"/>
  <c r="X16" i="51"/>
  <c r="AF37" i="51"/>
  <c r="X31" i="51"/>
  <c r="I68" i="51"/>
  <c r="J68" i="51" s="1"/>
  <c r="AD37" i="51"/>
  <c r="AK37" i="51"/>
  <c r="M17" i="51"/>
  <c r="W17" i="51"/>
  <c r="M18" i="51"/>
  <c r="W18" i="51"/>
  <c r="M19" i="51"/>
  <c r="I62" i="51"/>
  <c r="J62" i="51" s="1"/>
  <c r="X25" i="51"/>
  <c r="W26" i="51"/>
  <c r="I66" i="51"/>
  <c r="J66" i="51" s="1"/>
  <c r="X29" i="51"/>
  <c r="K37" i="51"/>
  <c r="W37" i="51" s="1"/>
  <c r="L74" i="51"/>
  <c r="T52" i="51"/>
  <c r="T56" i="51"/>
  <c r="AJ47" i="45"/>
  <c r="AJ48" i="45"/>
  <c r="AJ49" i="45"/>
  <c r="AJ50" i="45"/>
  <c r="AJ51" i="45"/>
  <c r="AJ52" i="45"/>
  <c r="AJ53" i="45"/>
  <c r="AJ54" i="45"/>
  <c r="AJ55" i="45"/>
  <c r="AJ56" i="45"/>
  <c r="AJ57" i="45"/>
  <c r="AJ58" i="45"/>
  <c r="AJ59" i="45"/>
  <c r="AJ60" i="45"/>
  <c r="AJ61" i="45"/>
  <c r="AJ62" i="45"/>
  <c r="AJ63" i="45"/>
  <c r="AJ64" i="45"/>
  <c r="AJ65" i="45"/>
  <c r="AJ66" i="45"/>
  <c r="AJ67" i="45"/>
  <c r="AJ68" i="45"/>
  <c r="AJ69" i="45"/>
  <c r="AJ70" i="45"/>
  <c r="AJ46" i="45"/>
  <c r="X18" i="51" l="1"/>
  <c r="I55" i="51"/>
  <c r="J55" i="51" s="1"/>
  <c r="I70" i="51"/>
  <c r="J70" i="51" s="1"/>
  <c r="X33" i="51"/>
  <c r="X19" i="51"/>
  <c r="I56" i="51"/>
  <c r="J56" i="51" s="1"/>
  <c r="I54" i="51"/>
  <c r="J54" i="51" s="1"/>
  <c r="X17" i="51"/>
  <c r="M37" i="51"/>
  <c r="X21" i="51"/>
  <c r="I58" i="51"/>
  <c r="J58" i="51" s="1"/>
  <c r="I57" i="51"/>
  <c r="J57" i="51" s="1"/>
  <c r="X20" i="51"/>
  <c r="Y10" i="20"/>
  <c r="Y14" i="20"/>
  <c r="Y18" i="20"/>
  <c r="Z21" i="20"/>
  <c r="AA21" i="20"/>
  <c r="AB21" i="20"/>
  <c r="AC21" i="20"/>
  <c r="AD21" i="20"/>
  <c r="AF21" i="20"/>
  <c r="AG21" i="20"/>
  <c r="AH21" i="20"/>
  <c r="AI21" i="20"/>
  <c r="AJ21" i="20"/>
  <c r="AK21" i="20"/>
  <c r="AL21" i="20"/>
  <c r="AM21" i="20"/>
  <c r="AN21" i="20"/>
  <c r="AO21" i="20"/>
  <c r="AP21" i="20"/>
  <c r="AQ21" i="20"/>
  <c r="AR21" i="20"/>
  <c r="AS21" i="20"/>
  <c r="AJ10" i="45"/>
  <c r="AJ14" i="45"/>
  <c r="AJ18" i="45"/>
  <c r="AJ22" i="45"/>
  <c r="AJ26" i="45"/>
  <c r="AJ30" i="45"/>
  <c r="AN59" i="14"/>
  <c r="AN75" i="14"/>
  <c r="AQ11" i="40"/>
  <c r="AQ15" i="40"/>
  <c r="AQ19" i="40"/>
  <c r="AQ23" i="40"/>
  <c r="AQ27" i="40"/>
  <c r="AQ31" i="40"/>
  <c r="BP34" i="40"/>
  <c r="AA43" i="42"/>
  <c r="AA44" i="42"/>
  <c r="AA47" i="42"/>
  <c r="AA48" i="42"/>
  <c r="AA51" i="42"/>
  <c r="AA52" i="42"/>
  <c r="AA39" i="42"/>
  <c r="AA40" i="42"/>
  <c r="U37" i="42"/>
  <c r="U40" i="42"/>
  <c r="U41" i="42"/>
  <c r="AA41" i="42" s="1"/>
  <c r="U42" i="42"/>
  <c r="AA42" i="42" s="1"/>
  <c r="U43" i="42"/>
  <c r="U44" i="42"/>
  <c r="U45" i="42"/>
  <c r="AA45" i="42" s="1"/>
  <c r="U46" i="42"/>
  <c r="AA46" i="42" s="1"/>
  <c r="U47" i="42"/>
  <c r="U48" i="42"/>
  <c r="U49" i="42"/>
  <c r="AA49" i="42" s="1"/>
  <c r="U50" i="42"/>
  <c r="AA50" i="42" s="1"/>
  <c r="U51" i="42"/>
  <c r="U52" i="42"/>
  <c r="U53" i="42"/>
  <c r="AA53" i="42" s="1"/>
  <c r="U54" i="42"/>
  <c r="AA54" i="42" s="1"/>
  <c r="V39" i="42"/>
  <c r="U39" i="42" s="1"/>
  <c r="V38" i="42"/>
  <c r="U38" i="42" s="1"/>
  <c r="AA38" i="42" s="1"/>
  <c r="AE9" i="42"/>
  <c r="AE10" i="42"/>
  <c r="AE13" i="42"/>
  <c r="AE14" i="42"/>
  <c r="AE17" i="42"/>
  <c r="AE18" i="42"/>
  <c r="AE21" i="42"/>
  <c r="AE22" i="42"/>
  <c r="AE25" i="42"/>
  <c r="AE26" i="42"/>
  <c r="U9" i="42"/>
  <c r="U10" i="42"/>
  <c r="U11" i="42"/>
  <c r="U12" i="42"/>
  <c r="U13" i="42"/>
  <c r="U14" i="42"/>
  <c r="U15" i="42"/>
  <c r="U16" i="42"/>
  <c r="U17" i="42"/>
  <c r="U18" i="42"/>
  <c r="U19" i="42"/>
  <c r="U20" i="42"/>
  <c r="U21" i="42"/>
  <c r="U22" i="42"/>
  <c r="U23" i="42"/>
  <c r="U24" i="42"/>
  <c r="U25" i="42"/>
  <c r="U26" i="42"/>
  <c r="U8" i="42"/>
  <c r="S55" i="42"/>
  <c r="T55" i="42"/>
  <c r="T9" i="42"/>
  <c r="T10" i="42"/>
  <c r="T11" i="42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8" i="42"/>
  <c r="S9" i="42"/>
  <c r="S10" i="42"/>
  <c r="S11" i="42"/>
  <c r="AE11" i="42" s="1"/>
  <c r="S12" i="42"/>
  <c r="AE12" i="42" s="1"/>
  <c r="S13" i="42"/>
  <c r="S14" i="42"/>
  <c r="S15" i="42"/>
  <c r="AE15" i="42" s="1"/>
  <c r="S16" i="42"/>
  <c r="AE16" i="42" s="1"/>
  <c r="S17" i="42"/>
  <c r="S18" i="42"/>
  <c r="S19" i="42"/>
  <c r="AE19" i="42" s="1"/>
  <c r="S20" i="42"/>
  <c r="AE20" i="42" s="1"/>
  <c r="S21" i="42"/>
  <c r="S22" i="42"/>
  <c r="S23" i="42"/>
  <c r="AE23" i="42" s="1"/>
  <c r="S24" i="42"/>
  <c r="AE24" i="42" s="1"/>
  <c r="S25" i="42"/>
  <c r="S26" i="42"/>
  <c r="S8" i="42"/>
  <c r="AE8" i="42" s="1"/>
  <c r="Y32" i="20"/>
  <c r="Y31" i="20"/>
  <c r="Y37" i="20"/>
  <c r="Y44" i="20"/>
  <c r="AA41" i="20"/>
  <c r="AB41" i="20"/>
  <c r="AG41" i="20"/>
  <c r="AI41" i="20"/>
  <c r="AJ41" i="20"/>
  <c r="Z42" i="20"/>
  <c r="Z43" i="20"/>
  <c r="Y43" i="20" s="1"/>
  <c r="AH42" i="20"/>
  <c r="AF35" i="20"/>
  <c r="AG42" i="20"/>
  <c r="AE40" i="20"/>
  <c r="AA39" i="20"/>
  <c r="Y39" i="20" s="1"/>
  <c r="AA38" i="20"/>
  <c r="Y38" i="20" s="1"/>
  <c r="AA36" i="20"/>
  <c r="Y36" i="20" s="1"/>
  <c r="AA35" i="20"/>
  <c r="AA34" i="20"/>
  <c r="Y34" i="20" s="1"/>
  <c r="AA33" i="20"/>
  <c r="Y33" i="20" s="1"/>
  <c r="AA40" i="20"/>
  <c r="W35" i="20"/>
  <c r="W43" i="20"/>
  <c r="S8" i="20"/>
  <c r="U8" i="20" s="1"/>
  <c r="W8" i="20" s="1"/>
  <c r="S12" i="20"/>
  <c r="U12" i="20" s="1"/>
  <c r="W12" i="20" s="1"/>
  <c r="S16" i="20"/>
  <c r="U16" i="20" s="1"/>
  <c r="W16" i="20" s="1"/>
  <c r="S20" i="20"/>
  <c r="U20" i="20" s="1"/>
  <c r="W20" i="20" s="1"/>
  <c r="AE8" i="20"/>
  <c r="Y8" i="20" s="1"/>
  <c r="AE9" i="20"/>
  <c r="Y9" i="20" s="1"/>
  <c r="AE10" i="20"/>
  <c r="AE11" i="20"/>
  <c r="Y11" i="20" s="1"/>
  <c r="AE12" i="20"/>
  <c r="Y12" i="20" s="1"/>
  <c r="AE13" i="20"/>
  <c r="Y13" i="20" s="1"/>
  <c r="AE14" i="20"/>
  <c r="AE15" i="20"/>
  <c r="Y15" i="20" s="1"/>
  <c r="AE16" i="20"/>
  <c r="Y16" i="20" s="1"/>
  <c r="AE17" i="20"/>
  <c r="Y17" i="20" s="1"/>
  <c r="AE18" i="20"/>
  <c r="AE19" i="20"/>
  <c r="Y19" i="20" s="1"/>
  <c r="AE20" i="20"/>
  <c r="Y20" i="20" s="1"/>
  <c r="AE7" i="20"/>
  <c r="Y7" i="20" s="1"/>
  <c r="S32" i="20"/>
  <c r="U32" i="20" s="1"/>
  <c r="S33" i="20"/>
  <c r="U33" i="20" s="1"/>
  <c r="S9" i="20" s="1"/>
  <c r="S34" i="20"/>
  <c r="W34" i="20" s="1"/>
  <c r="S35" i="20"/>
  <c r="S36" i="20"/>
  <c r="U36" i="20" s="1"/>
  <c r="S37" i="20"/>
  <c r="U37" i="20" s="1"/>
  <c r="S13" i="20" s="1"/>
  <c r="S38" i="20"/>
  <c r="S39" i="20"/>
  <c r="W39" i="20" s="1"/>
  <c r="S40" i="20"/>
  <c r="U40" i="20" s="1"/>
  <c r="S41" i="20"/>
  <c r="U41" i="20" s="1"/>
  <c r="S17" i="20" s="1"/>
  <c r="S42" i="20"/>
  <c r="S43" i="20"/>
  <c r="S44" i="20"/>
  <c r="U44" i="20" s="1"/>
  <c r="S31" i="20"/>
  <c r="U31" i="20" s="1"/>
  <c r="S7" i="20" s="1"/>
  <c r="U34" i="20"/>
  <c r="S10" i="20" s="1"/>
  <c r="U35" i="20"/>
  <c r="S11" i="20" s="1"/>
  <c r="U11" i="20" s="1"/>
  <c r="W11" i="20" s="1"/>
  <c r="U43" i="20"/>
  <c r="S19" i="20" s="1"/>
  <c r="U19" i="20" s="1"/>
  <c r="W19" i="20" s="1"/>
  <c r="R45" i="20"/>
  <c r="T45" i="20"/>
  <c r="Q45" i="20"/>
  <c r="M21" i="20"/>
  <c r="N21" i="20"/>
  <c r="O21" i="20"/>
  <c r="P21" i="20"/>
  <c r="Q21" i="20"/>
  <c r="R21" i="20"/>
  <c r="AQ44" i="40"/>
  <c r="AQ45" i="40"/>
  <c r="AQ46" i="40"/>
  <c r="AQ47" i="40"/>
  <c r="AQ48" i="40"/>
  <c r="AQ49" i="40"/>
  <c r="AQ50" i="40"/>
  <c r="AQ51" i="40"/>
  <c r="AQ52" i="40"/>
  <c r="AQ54" i="40"/>
  <c r="AQ55" i="40"/>
  <c r="AQ56" i="40"/>
  <c r="AQ57" i="40"/>
  <c r="AQ58" i="40"/>
  <c r="AQ59" i="40"/>
  <c r="AQ61" i="40"/>
  <c r="AQ62" i="40"/>
  <c r="AQ63" i="40"/>
  <c r="AQ64" i="40"/>
  <c r="AQ65" i="40"/>
  <c r="AQ66" i="40"/>
  <c r="AQ67" i="40"/>
  <c r="AQ68" i="40"/>
  <c r="AQ69" i="40"/>
  <c r="AQ43" i="40"/>
  <c r="AR60" i="40"/>
  <c r="AQ60" i="40" s="1"/>
  <c r="BC70" i="40"/>
  <c r="BD70" i="40"/>
  <c r="AT53" i="40"/>
  <c r="AQ53" i="40" s="1"/>
  <c r="AU70" i="40"/>
  <c r="AV70" i="40"/>
  <c r="AW70" i="40"/>
  <c r="AX70" i="40"/>
  <c r="AY70" i="40"/>
  <c r="AZ70" i="40"/>
  <c r="BA70" i="40"/>
  <c r="BB70" i="40"/>
  <c r="AX8" i="40"/>
  <c r="AQ8" i="40" s="1"/>
  <c r="AX9" i="40"/>
  <c r="AQ9" i="40" s="1"/>
  <c r="AX10" i="40"/>
  <c r="AQ10" i="40" s="1"/>
  <c r="AX11" i="40"/>
  <c r="AX12" i="40"/>
  <c r="AQ12" i="40" s="1"/>
  <c r="AX13" i="40"/>
  <c r="AQ13" i="40" s="1"/>
  <c r="AX14" i="40"/>
  <c r="AQ14" i="40" s="1"/>
  <c r="AX15" i="40"/>
  <c r="AX16" i="40"/>
  <c r="AQ16" i="40" s="1"/>
  <c r="AX17" i="40"/>
  <c r="AQ17" i="40" s="1"/>
  <c r="AX18" i="40"/>
  <c r="AQ18" i="40" s="1"/>
  <c r="AX19" i="40"/>
  <c r="AX20" i="40"/>
  <c r="AQ20" i="40" s="1"/>
  <c r="AX21" i="40"/>
  <c r="AQ21" i="40" s="1"/>
  <c r="AX22" i="40"/>
  <c r="AQ22" i="40" s="1"/>
  <c r="AX23" i="40"/>
  <c r="AX24" i="40"/>
  <c r="AQ24" i="40" s="1"/>
  <c r="AX25" i="40"/>
  <c r="AQ25" i="40" s="1"/>
  <c r="AX26" i="40"/>
  <c r="AQ26" i="40" s="1"/>
  <c r="AX27" i="40"/>
  <c r="AX28" i="40"/>
  <c r="AQ28" i="40" s="1"/>
  <c r="AX29" i="40"/>
  <c r="AQ29" i="40" s="1"/>
  <c r="AX30" i="40"/>
  <c r="AQ30" i="40" s="1"/>
  <c r="AX31" i="40"/>
  <c r="AX32" i="40"/>
  <c r="AQ32" i="40" s="1"/>
  <c r="AX33" i="40"/>
  <c r="AQ33" i="40" s="1"/>
  <c r="AX7" i="40"/>
  <c r="AQ7" i="40" s="1"/>
  <c r="AG56" i="39"/>
  <c r="AG58" i="39"/>
  <c r="AG59" i="39"/>
  <c r="AG60" i="39"/>
  <c r="AG61" i="39"/>
  <c r="AG62" i="39"/>
  <c r="AG63" i="39"/>
  <c r="AG55" i="39"/>
  <c r="AP30" i="40"/>
  <c r="AR34" i="40"/>
  <c r="AS34" i="40"/>
  <c r="AT34" i="40"/>
  <c r="AU34" i="40"/>
  <c r="AV34" i="40"/>
  <c r="AW34" i="40"/>
  <c r="AY34" i="40"/>
  <c r="AZ34" i="40"/>
  <c r="BA34" i="40"/>
  <c r="BB34" i="40"/>
  <c r="BC34" i="40"/>
  <c r="BD34" i="40"/>
  <c r="BE34" i="40"/>
  <c r="BF34" i="40"/>
  <c r="BG34" i="40"/>
  <c r="BH34" i="40"/>
  <c r="BI34" i="40"/>
  <c r="BJ34" i="40"/>
  <c r="BK34" i="40"/>
  <c r="BL34" i="40"/>
  <c r="BM34" i="40"/>
  <c r="BN34" i="40"/>
  <c r="BO34" i="40"/>
  <c r="AN66" i="40"/>
  <c r="AP66" i="40" s="1"/>
  <c r="AL70" i="40"/>
  <c r="AJ70" i="40"/>
  <c r="AI70" i="40"/>
  <c r="AK69" i="40"/>
  <c r="AM69" i="40" s="1"/>
  <c r="AK33" i="40" s="1"/>
  <c r="AM33" i="40" s="1"/>
  <c r="AK68" i="40"/>
  <c r="AM68" i="40" s="1"/>
  <c r="AK32" i="40" s="1"/>
  <c r="AM32" i="40" s="1"/>
  <c r="AK67" i="40"/>
  <c r="AM67" i="40" s="1"/>
  <c r="AK31" i="40" s="1"/>
  <c r="AM31" i="40" s="1"/>
  <c r="AK66" i="40"/>
  <c r="AM66" i="40" s="1"/>
  <c r="AK30" i="40" s="1"/>
  <c r="AM30" i="40" s="1"/>
  <c r="AO30" i="40" s="1"/>
  <c r="AK65" i="40"/>
  <c r="AM65" i="40" s="1"/>
  <c r="AK29" i="40" s="1"/>
  <c r="AM29" i="40" s="1"/>
  <c r="AK64" i="40"/>
  <c r="AM64" i="40" s="1"/>
  <c r="AK28" i="40" s="1"/>
  <c r="AM28" i="40" s="1"/>
  <c r="AK63" i="40"/>
  <c r="AM63" i="40" s="1"/>
  <c r="AK27" i="40" s="1"/>
  <c r="AM27" i="40" s="1"/>
  <c r="AK62" i="40"/>
  <c r="AM62" i="40" s="1"/>
  <c r="AK26" i="40" s="1"/>
  <c r="AM26" i="40" s="1"/>
  <c r="AK61" i="40"/>
  <c r="AM61" i="40" s="1"/>
  <c r="AK25" i="40" s="1"/>
  <c r="AM25" i="40" s="1"/>
  <c r="AK60" i="40"/>
  <c r="AM60" i="40" s="1"/>
  <c r="AK24" i="40" s="1"/>
  <c r="AM24" i="40" s="1"/>
  <c r="AK59" i="40"/>
  <c r="AM59" i="40" s="1"/>
  <c r="AK23" i="40" s="1"/>
  <c r="AM23" i="40" s="1"/>
  <c r="AK58" i="40"/>
  <c r="AM58" i="40" s="1"/>
  <c r="AK22" i="40" s="1"/>
  <c r="AM22" i="40" s="1"/>
  <c r="AK57" i="40"/>
  <c r="AM57" i="40" s="1"/>
  <c r="AK21" i="40" s="1"/>
  <c r="AM21" i="40" s="1"/>
  <c r="AK56" i="40"/>
  <c r="AM56" i="40" s="1"/>
  <c r="AK20" i="40" s="1"/>
  <c r="AM20" i="40" s="1"/>
  <c r="AK55" i="40"/>
  <c r="AM55" i="40" s="1"/>
  <c r="AK19" i="40" s="1"/>
  <c r="AM19" i="40" s="1"/>
  <c r="AK54" i="40"/>
  <c r="AM54" i="40" s="1"/>
  <c r="AK18" i="40" s="1"/>
  <c r="AM18" i="40" s="1"/>
  <c r="AK53" i="40"/>
  <c r="AM53" i="40" s="1"/>
  <c r="AK17" i="40" s="1"/>
  <c r="AM17" i="40" s="1"/>
  <c r="AK52" i="40"/>
  <c r="AM52" i="40" s="1"/>
  <c r="AK16" i="40" s="1"/>
  <c r="AM16" i="40" s="1"/>
  <c r="AK51" i="40"/>
  <c r="AM51" i="40" s="1"/>
  <c r="AK15" i="40" s="1"/>
  <c r="AM15" i="40" s="1"/>
  <c r="AK50" i="40"/>
  <c r="AM50" i="40" s="1"/>
  <c r="AK14" i="40" s="1"/>
  <c r="AM14" i="40" s="1"/>
  <c r="AK49" i="40"/>
  <c r="AM49" i="40" s="1"/>
  <c r="AK13" i="40" s="1"/>
  <c r="AM13" i="40" s="1"/>
  <c r="AK48" i="40"/>
  <c r="AM48" i="40" s="1"/>
  <c r="AK12" i="40" s="1"/>
  <c r="AM12" i="40" s="1"/>
  <c r="AK47" i="40"/>
  <c r="AM47" i="40" s="1"/>
  <c r="AK11" i="40" s="1"/>
  <c r="AM11" i="40" s="1"/>
  <c r="AK46" i="40"/>
  <c r="AM46" i="40" s="1"/>
  <c r="AK10" i="40" s="1"/>
  <c r="AM10" i="40" s="1"/>
  <c r="AK45" i="40"/>
  <c r="AM45" i="40" s="1"/>
  <c r="AK9" i="40" s="1"/>
  <c r="AM9" i="40" s="1"/>
  <c r="AK44" i="40"/>
  <c r="AM44" i="40" s="1"/>
  <c r="AK8" i="40" s="1"/>
  <c r="AK43" i="40"/>
  <c r="AM43" i="40" s="1"/>
  <c r="AK7" i="40" s="1"/>
  <c r="AM7" i="40" s="1"/>
  <c r="AF70" i="40"/>
  <c r="AH70" i="40"/>
  <c r="AC70" i="40"/>
  <c r="AD70" i="40"/>
  <c r="H70" i="40"/>
  <c r="G70" i="40"/>
  <c r="F70" i="40"/>
  <c r="I16" i="39"/>
  <c r="J16" i="39"/>
  <c r="AJ64" i="39"/>
  <c r="AH57" i="39"/>
  <c r="AG57" i="39" s="1"/>
  <c r="AI34" i="40"/>
  <c r="AJ34" i="40"/>
  <c r="AL34" i="40"/>
  <c r="AG34" i="40"/>
  <c r="AH34" i="40"/>
  <c r="AE34" i="40"/>
  <c r="AF34" i="40"/>
  <c r="AA34" i="40"/>
  <c r="AB34" i="40"/>
  <c r="AC34" i="40"/>
  <c r="AD34" i="40"/>
  <c r="W34" i="40"/>
  <c r="X34" i="40"/>
  <c r="Y34" i="40"/>
  <c r="Z34" i="40"/>
  <c r="AS64" i="39"/>
  <c r="AR64" i="39"/>
  <c r="AT64" i="39"/>
  <c r="AU64" i="39"/>
  <c r="AW64" i="39"/>
  <c r="AK64" i="39"/>
  <c r="AL64" i="39"/>
  <c r="AM64" i="39"/>
  <c r="AN64" i="39"/>
  <c r="AO64" i="39"/>
  <c r="AP64" i="39"/>
  <c r="AQ64" i="39"/>
  <c r="AB64" i="39"/>
  <c r="Z64" i="39"/>
  <c r="Y64" i="39"/>
  <c r="H64" i="39"/>
  <c r="G64" i="39"/>
  <c r="F64" i="39"/>
  <c r="E64" i="39"/>
  <c r="AE63" i="39"/>
  <c r="AA62" i="39"/>
  <c r="AC62" i="39" s="1"/>
  <c r="AA61" i="39"/>
  <c r="AC61" i="39" s="1"/>
  <c r="AA60" i="39"/>
  <c r="AC60" i="39" s="1"/>
  <c r="AA59" i="39"/>
  <c r="AC59" i="39" s="1"/>
  <c r="AA58" i="39"/>
  <c r="AC58" i="39" s="1"/>
  <c r="AA57" i="39"/>
  <c r="AC57" i="39" s="1"/>
  <c r="AA56" i="39"/>
  <c r="AC56" i="39" s="1"/>
  <c r="AA55" i="39"/>
  <c r="AN48" i="39"/>
  <c r="AN47" i="39"/>
  <c r="AY39" i="39"/>
  <c r="AZ39" i="39"/>
  <c r="BA39" i="39"/>
  <c r="BB39" i="39"/>
  <c r="BC39" i="39"/>
  <c r="AN46" i="39"/>
  <c r="AN45" i="39"/>
  <c r="AN44" i="39"/>
  <c r="AN43" i="39"/>
  <c r="AN42" i="39"/>
  <c r="AJ16" i="48"/>
  <c r="BE16" i="48" s="1"/>
  <c r="AF12" i="48"/>
  <c r="AH12" i="48" s="1"/>
  <c r="AJ12" i="48" s="1"/>
  <c r="BE12" i="48" s="1"/>
  <c r="AF16" i="48"/>
  <c r="AH16" i="48" s="1"/>
  <c r="N13" i="28"/>
  <c r="N14" i="28"/>
  <c r="Q25" i="28"/>
  <c r="AS29" i="48"/>
  <c r="BE52" i="45"/>
  <c r="AL70" i="45"/>
  <c r="AI39" i="39"/>
  <c r="AJ39" i="39"/>
  <c r="AK39" i="39"/>
  <c r="AL39" i="39"/>
  <c r="AM39" i="39"/>
  <c r="AN39" i="39"/>
  <c r="AO39" i="39"/>
  <c r="AP39" i="39"/>
  <c r="AQ39" i="39"/>
  <c r="AR39" i="39"/>
  <c r="AS39" i="39"/>
  <c r="AT39" i="39"/>
  <c r="AU39" i="39"/>
  <c r="AV39" i="39"/>
  <c r="AW39" i="39"/>
  <c r="AX39" i="39"/>
  <c r="AH39" i="39"/>
  <c r="AG15" i="39"/>
  <c r="AN8" i="39"/>
  <c r="AG8" i="39" s="1"/>
  <c r="AN9" i="39"/>
  <c r="AG9" i="39" s="1"/>
  <c r="AN10" i="39"/>
  <c r="AG10" i="39" s="1"/>
  <c r="AN11" i="39"/>
  <c r="AG11" i="39" s="1"/>
  <c r="AN12" i="39"/>
  <c r="AG12" i="39" s="1"/>
  <c r="AN13" i="39"/>
  <c r="AG13" i="39" s="1"/>
  <c r="AN14" i="39"/>
  <c r="AG14" i="39" s="1"/>
  <c r="AN7" i="39"/>
  <c r="AG7" i="39" s="1"/>
  <c r="AO16" i="39"/>
  <c r="AI16" i="39"/>
  <c r="AJ16" i="39"/>
  <c r="AK16" i="39"/>
  <c r="AL16" i="39"/>
  <c r="AM16" i="39"/>
  <c r="AP16" i="39"/>
  <c r="AQ16" i="39"/>
  <c r="AR16" i="39"/>
  <c r="AS16" i="39"/>
  <c r="AT16" i="39"/>
  <c r="AU16" i="39"/>
  <c r="AV16" i="39"/>
  <c r="AW16" i="39"/>
  <c r="AX16" i="39"/>
  <c r="AY16" i="39"/>
  <c r="AZ16" i="39"/>
  <c r="BA16" i="39"/>
  <c r="BB16" i="39"/>
  <c r="BC16" i="39"/>
  <c r="AH16" i="39"/>
  <c r="AK51" i="47"/>
  <c r="AK52" i="47"/>
  <c r="AK53" i="47"/>
  <c r="AK54" i="47"/>
  <c r="AK55" i="47"/>
  <c r="AK56" i="47"/>
  <c r="AK57" i="47"/>
  <c r="AK58" i="47"/>
  <c r="AK59" i="47"/>
  <c r="AK60" i="47"/>
  <c r="AK61" i="47"/>
  <c r="AK62" i="47"/>
  <c r="AK63" i="47"/>
  <c r="AK64" i="47"/>
  <c r="AK65" i="47"/>
  <c r="AK66" i="47"/>
  <c r="AK67" i="47"/>
  <c r="AK68" i="47"/>
  <c r="AK69" i="47"/>
  <c r="AK70" i="47"/>
  <c r="AK71" i="47"/>
  <c r="AK72" i="47"/>
  <c r="AK73" i="47"/>
  <c r="AK74" i="47"/>
  <c r="AK75" i="47"/>
  <c r="AK76" i="47"/>
  <c r="AK77" i="47"/>
  <c r="AK78" i="47"/>
  <c r="AK79" i="47"/>
  <c r="AK80" i="47"/>
  <c r="AK81" i="47"/>
  <c r="AK50" i="47"/>
  <c r="AE38" i="39"/>
  <c r="AC8" i="39"/>
  <c r="AE8" i="39" s="1"/>
  <c r="AC9" i="39"/>
  <c r="AD9" i="39" s="1"/>
  <c r="AF9" i="39" s="1"/>
  <c r="AC10" i="39"/>
  <c r="AD10" i="39" s="1"/>
  <c r="AD58" i="39" s="1"/>
  <c r="AF58" i="39" s="1"/>
  <c r="AC11" i="39"/>
  <c r="AE11" i="39" s="1"/>
  <c r="AC12" i="39"/>
  <c r="AE12" i="39" s="1"/>
  <c r="AC13" i="39"/>
  <c r="AE13" i="39" s="1"/>
  <c r="AC14" i="39"/>
  <c r="AD14" i="39" s="1"/>
  <c r="AD62" i="39" s="1"/>
  <c r="AF62" i="39" s="1"/>
  <c r="AC15" i="39"/>
  <c r="AD15" i="39" s="1"/>
  <c r="AC7" i="39"/>
  <c r="AE7" i="39" s="1"/>
  <c r="BD7" i="39" s="1"/>
  <c r="AA31" i="39"/>
  <c r="AA32" i="39"/>
  <c r="AE32" i="39" s="1"/>
  <c r="AA33" i="39"/>
  <c r="AE33" i="39" s="1"/>
  <c r="AA34" i="39"/>
  <c r="AC34" i="39" s="1"/>
  <c r="AA35" i="39"/>
  <c r="AE35" i="39" s="1"/>
  <c r="AA36" i="39"/>
  <c r="AE36" i="39" s="1"/>
  <c r="AA37" i="39"/>
  <c r="AE37" i="39" s="1"/>
  <c r="AA30" i="39"/>
  <c r="AE30" i="39" s="1"/>
  <c r="Z39" i="39"/>
  <c r="AB39" i="39"/>
  <c r="AD39" i="39"/>
  <c r="Y39" i="39"/>
  <c r="P16" i="39"/>
  <c r="Q16" i="39"/>
  <c r="R16" i="39"/>
  <c r="S16" i="39"/>
  <c r="T16" i="39"/>
  <c r="U16" i="39"/>
  <c r="V16" i="39"/>
  <c r="W16" i="39"/>
  <c r="X16" i="39"/>
  <c r="Y16" i="39"/>
  <c r="Z16" i="39"/>
  <c r="AA16" i="39"/>
  <c r="O16" i="39"/>
  <c r="R15" i="28"/>
  <c r="S15" i="28"/>
  <c r="T15" i="28"/>
  <c r="U15" i="28"/>
  <c r="W15" i="28"/>
  <c r="X15" i="28"/>
  <c r="Y15" i="28"/>
  <c r="Z15" i="28"/>
  <c r="AA15" i="28"/>
  <c r="Q15" i="28"/>
  <c r="N25" i="28"/>
  <c r="N24" i="28"/>
  <c r="Q24" i="28" s="1"/>
  <c r="M26" i="28"/>
  <c r="L26" i="28"/>
  <c r="N11" i="28"/>
  <c r="N10" i="28"/>
  <c r="O12" i="28"/>
  <c r="P12" i="28"/>
  <c r="R12" i="28"/>
  <c r="S12" i="28"/>
  <c r="T12" i="28"/>
  <c r="U12" i="28"/>
  <c r="X12" i="28"/>
  <c r="Y12" i="28"/>
  <c r="Z12" i="28"/>
  <c r="AA12" i="28"/>
  <c r="Q12" i="28"/>
  <c r="AD34" i="48"/>
  <c r="AL27" i="48"/>
  <c r="AL28" i="48"/>
  <c r="AL29" i="48"/>
  <c r="AL30" i="48"/>
  <c r="AL31" i="48"/>
  <c r="AL32" i="48"/>
  <c r="AL33" i="48"/>
  <c r="AL26" i="48"/>
  <c r="AL34" i="48" s="1"/>
  <c r="AN34" i="48"/>
  <c r="AO34" i="48"/>
  <c r="AP34" i="48"/>
  <c r="AQ34" i="48"/>
  <c r="AR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BH34" i="48"/>
  <c r="BI34" i="48"/>
  <c r="BJ34" i="48"/>
  <c r="BK34" i="48"/>
  <c r="BL34" i="48"/>
  <c r="BM34" i="48"/>
  <c r="BN34" i="48"/>
  <c r="BO34" i="48"/>
  <c r="BP34" i="48"/>
  <c r="AM34" i="48"/>
  <c r="AL10" i="48"/>
  <c r="AL11" i="48"/>
  <c r="AL12" i="48"/>
  <c r="AL13" i="48"/>
  <c r="AL14" i="48"/>
  <c r="AL15" i="48"/>
  <c r="AL16" i="48"/>
  <c r="AL9" i="48"/>
  <c r="AY17" i="48"/>
  <c r="AX17" i="48"/>
  <c r="AS17" i="48"/>
  <c r="AM17" i="48"/>
  <c r="AN17" i="48"/>
  <c r="AO17" i="48"/>
  <c r="AP17" i="48"/>
  <c r="AQ17" i="48"/>
  <c r="AR17" i="48"/>
  <c r="AT17" i="48"/>
  <c r="AU17" i="48"/>
  <c r="AV17" i="48"/>
  <c r="AW17" i="48"/>
  <c r="AZ17" i="48"/>
  <c r="BA17" i="48"/>
  <c r="BB17" i="48"/>
  <c r="BC17" i="48"/>
  <c r="BD17" i="48"/>
  <c r="BF17" i="48"/>
  <c r="BG17" i="48"/>
  <c r="BH17" i="48"/>
  <c r="BI17" i="48"/>
  <c r="BJ17" i="48"/>
  <c r="BK17" i="48"/>
  <c r="BL17" i="48"/>
  <c r="BM17" i="48"/>
  <c r="BN17" i="48"/>
  <c r="BO17" i="48"/>
  <c r="BP17" i="48"/>
  <c r="BQ17" i="48"/>
  <c r="BR17" i="48"/>
  <c r="BS17" i="48"/>
  <c r="BU17" i="48"/>
  <c r="BV17" i="48"/>
  <c r="AJ30" i="48"/>
  <c r="AS30" i="48" s="1"/>
  <c r="AG34" i="48"/>
  <c r="AE34" i="48"/>
  <c r="AH33" i="48"/>
  <c r="AF33" i="48"/>
  <c r="AJ33" i="48" s="1"/>
  <c r="AS33" i="48" s="1"/>
  <c r="AF32" i="48"/>
  <c r="AJ32" i="48" s="1"/>
  <c r="AS32" i="48" s="1"/>
  <c r="AH31" i="48"/>
  <c r="AF31" i="48"/>
  <c r="AJ31" i="48" s="1"/>
  <c r="AS31" i="48" s="1"/>
  <c r="AF30" i="48"/>
  <c r="AH30" i="48" s="1"/>
  <c r="AH29" i="48"/>
  <c r="AF29" i="48"/>
  <c r="AJ29" i="48" s="1"/>
  <c r="AF28" i="48"/>
  <c r="AH28" i="48" s="1"/>
  <c r="AH27" i="48"/>
  <c r="AF27" i="48"/>
  <c r="AJ27" i="48" s="1"/>
  <c r="AS27" i="48" s="1"/>
  <c r="AF26" i="48"/>
  <c r="AF9" i="48" s="1"/>
  <c r="AH9" i="48" s="1"/>
  <c r="BQ34" i="48"/>
  <c r="BR34" i="48"/>
  <c r="BS34" i="48"/>
  <c r="BT34" i="48"/>
  <c r="BU34" i="48"/>
  <c r="BV34" i="48"/>
  <c r="I34" i="48"/>
  <c r="H34" i="48"/>
  <c r="G34" i="48"/>
  <c r="F34" i="48"/>
  <c r="AB17" i="48"/>
  <c r="AC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D17" i="48"/>
  <c r="AE17" i="48"/>
  <c r="AG17" i="48"/>
  <c r="J17" i="48"/>
  <c r="V27" i="42"/>
  <c r="W27" i="42"/>
  <c r="X27" i="42"/>
  <c r="Y27" i="42"/>
  <c r="Z27" i="42"/>
  <c r="AA27" i="42"/>
  <c r="AB27" i="42"/>
  <c r="AC27" i="42"/>
  <c r="AD27" i="42"/>
  <c r="H55" i="42"/>
  <c r="G55" i="42"/>
  <c r="F55" i="42"/>
  <c r="I27" i="42"/>
  <c r="J27" i="42"/>
  <c r="K27" i="42"/>
  <c r="L27" i="42"/>
  <c r="BC70" i="45"/>
  <c r="BD70" i="45"/>
  <c r="BA70" i="45"/>
  <c r="AM70" i="45"/>
  <c r="AN70" i="45"/>
  <c r="AO70" i="45"/>
  <c r="AP70" i="45"/>
  <c r="AQ70" i="45"/>
  <c r="AR70" i="45"/>
  <c r="AS70" i="45"/>
  <c r="AT70" i="45"/>
  <c r="AU70" i="45"/>
  <c r="AV70" i="45"/>
  <c r="AW70" i="45"/>
  <c r="AX70" i="45"/>
  <c r="AY70" i="45"/>
  <c r="AZ70" i="45"/>
  <c r="AK70" i="45"/>
  <c r="AH24" i="45"/>
  <c r="BC24" i="45" s="1"/>
  <c r="BA33" i="45"/>
  <c r="AQ10" i="45"/>
  <c r="AQ11" i="45"/>
  <c r="AJ11" i="45" s="1"/>
  <c r="AQ12" i="45"/>
  <c r="AJ12" i="45" s="1"/>
  <c r="AQ13" i="45"/>
  <c r="AJ13" i="45" s="1"/>
  <c r="AQ14" i="45"/>
  <c r="AQ15" i="45"/>
  <c r="AJ15" i="45" s="1"/>
  <c r="AQ16" i="45"/>
  <c r="AJ16" i="45" s="1"/>
  <c r="AQ17" i="45"/>
  <c r="AJ17" i="45" s="1"/>
  <c r="AQ18" i="45"/>
  <c r="AQ19" i="45"/>
  <c r="AJ19" i="45" s="1"/>
  <c r="AQ20" i="45"/>
  <c r="AJ20" i="45" s="1"/>
  <c r="AQ21" i="45"/>
  <c r="AJ21" i="45" s="1"/>
  <c r="AQ22" i="45"/>
  <c r="AQ23" i="45"/>
  <c r="AJ23" i="45" s="1"/>
  <c r="AQ24" i="45"/>
  <c r="AJ24" i="45" s="1"/>
  <c r="AQ25" i="45"/>
  <c r="AJ25" i="45" s="1"/>
  <c r="AQ26" i="45"/>
  <c r="AQ27" i="45"/>
  <c r="AJ27" i="45" s="1"/>
  <c r="AQ28" i="45"/>
  <c r="AJ28" i="45" s="1"/>
  <c r="AQ29" i="45"/>
  <c r="AJ29" i="45" s="1"/>
  <c r="AQ30" i="45"/>
  <c r="AQ31" i="45"/>
  <c r="AJ31" i="45" s="1"/>
  <c r="AQ32" i="45"/>
  <c r="AJ32" i="45" s="1"/>
  <c r="AQ9" i="45"/>
  <c r="AJ9" i="45" s="1"/>
  <c r="AB70" i="45"/>
  <c r="AC70" i="45"/>
  <c r="AD67" i="45"/>
  <c r="AH67" i="45" s="1"/>
  <c r="BE67" i="45" s="1"/>
  <c r="AD68" i="45"/>
  <c r="AF68" i="45" s="1"/>
  <c r="AD69" i="45"/>
  <c r="AH69" i="45" s="1"/>
  <c r="BE69" i="45" s="1"/>
  <c r="AH51" i="47"/>
  <c r="AJ51" i="47" s="1"/>
  <c r="F70" i="45"/>
  <c r="F33" i="45"/>
  <c r="G70" i="45"/>
  <c r="H70" i="45"/>
  <c r="I70" i="45"/>
  <c r="AA53" i="14"/>
  <c r="AN53" i="14" s="1"/>
  <c r="AA64" i="14"/>
  <c r="AA67" i="14"/>
  <c r="AN67" i="14" s="1"/>
  <c r="AA68" i="14"/>
  <c r="AN68" i="14" s="1"/>
  <c r="AA71" i="14"/>
  <c r="AN71" i="14" s="1"/>
  <c r="AA72" i="14"/>
  <c r="AN72" i="14" s="1"/>
  <c r="AA75" i="14"/>
  <c r="AA76" i="14"/>
  <c r="AN76" i="14" s="1"/>
  <c r="AA79" i="14"/>
  <c r="AN79" i="14" s="1"/>
  <c r="Y51" i="14"/>
  <c r="Y55" i="14"/>
  <c r="Y59" i="14"/>
  <c r="Y63" i="14"/>
  <c r="Y67" i="14"/>
  <c r="Y71" i="14"/>
  <c r="Y75" i="14"/>
  <c r="Y79" i="14"/>
  <c r="W51" i="14"/>
  <c r="AA51" i="14" s="1"/>
  <c r="AN51" i="14" s="1"/>
  <c r="W52" i="14"/>
  <c r="AA52" i="14" s="1"/>
  <c r="AN52" i="14" s="1"/>
  <c r="W53" i="14"/>
  <c r="Y53" i="14" s="1"/>
  <c r="W54" i="14"/>
  <c r="Y54" i="14" s="1"/>
  <c r="W55" i="14"/>
  <c r="AA55" i="14" s="1"/>
  <c r="AN55" i="14" s="1"/>
  <c r="W56" i="14"/>
  <c r="AA56" i="14" s="1"/>
  <c r="AN56" i="14" s="1"/>
  <c r="W57" i="14"/>
  <c r="Y57" i="14" s="1"/>
  <c r="W58" i="14"/>
  <c r="AA58" i="14" s="1"/>
  <c r="AN58" i="14" s="1"/>
  <c r="W59" i="14"/>
  <c r="AA59" i="14" s="1"/>
  <c r="W60" i="14"/>
  <c r="AA60" i="14" s="1"/>
  <c r="AN60" i="14" s="1"/>
  <c r="W61" i="14"/>
  <c r="AA61" i="14" s="1"/>
  <c r="AN61" i="14" s="1"/>
  <c r="W62" i="14"/>
  <c r="AA62" i="14" s="1"/>
  <c r="AN62" i="14" s="1"/>
  <c r="W63" i="14"/>
  <c r="AA63" i="14" s="1"/>
  <c r="AN63" i="14" s="1"/>
  <c r="W64" i="14"/>
  <c r="Y64" i="14" s="1"/>
  <c r="W65" i="14"/>
  <c r="Y65" i="14" s="1"/>
  <c r="W66" i="14"/>
  <c r="AA66" i="14" s="1"/>
  <c r="AN66" i="14" s="1"/>
  <c r="W67" i="14"/>
  <c r="W68" i="14"/>
  <c r="Y68" i="14" s="1"/>
  <c r="W69" i="14"/>
  <c r="Y69" i="14" s="1"/>
  <c r="W70" i="14"/>
  <c r="AA70" i="14" s="1"/>
  <c r="AN70" i="14" s="1"/>
  <c r="W71" i="14"/>
  <c r="W72" i="14"/>
  <c r="Y72" i="14" s="1"/>
  <c r="W73" i="14"/>
  <c r="Y73" i="14" s="1"/>
  <c r="W74" i="14"/>
  <c r="AA74" i="14" s="1"/>
  <c r="AN74" i="14" s="1"/>
  <c r="W75" i="14"/>
  <c r="W76" i="14"/>
  <c r="Y76" i="14" s="1"/>
  <c r="W77" i="14"/>
  <c r="Y77" i="14" s="1"/>
  <c r="W78" i="14"/>
  <c r="AA78" i="14" s="1"/>
  <c r="AN78" i="14" s="1"/>
  <c r="W79" i="14"/>
  <c r="H40" i="14"/>
  <c r="H80" i="14"/>
  <c r="AI56" i="47"/>
  <c r="BG56" i="47" s="1"/>
  <c r="AI64" i="47"/>
  <c r="BG64" i="47" s="1"/>
  <c r="AI72" i="47"/>
  <c r="BG72" i="47" s="1"/>
  <c r="AI80" i="47"/>
  <c r="BG80" i="47" s="1"/>
  <c r="AG56" i="47"/>
  <c r="AG64" i="47"/>
  <c r="AG72" i="47"/>
  <c r="AG80" i="47"/>
  <c r="AE51" i="47"/>
  <c r="AI51" i="47" s="1"/>
  <c r="BG51" i="47" s="1"/>
  <c r="AE52" i="47"/>
  <c r="AI52" i="47" s="1"/>
  <c r="BG52" i="47" s="1"/>
  <c r="AE53" i="47"/>
  <c r="AI53" i="47" s="1"/>
  <c r="BG53" i="47" s="1"/>
  <c r="AE54" i="47"/>
  <c r="AI54" i="47" s="1"/>
  <c r="BG54" i="47" s="1"/>
  <c r="AE55" i="47"/>
  <c r="AI55" i="47" s="1"/>
  <c r="BG55" i="47" s="1"/>
  <c r="AE56" i="47"/>
  <c r="AE57" i="47"/>
  <c r="AI57" i="47" s="1"/>
  <c r="BG57" i="47" s="1"/>
  <c r="AE58" i="47"/>
  <c r="AI58" i="47" s="1"/>
  <c r="BG58" i="47" s="1"/>
  <c r="AE59" i="47"/>
  <c r="AG59" i="47" s="1"/>
  <c r="AE60" i="47"/>
  <c r="AI60" i="47" s="1"/>
  <c r="BG60" i="47" s="1"/>
  <c r="AE61" i="47"/>
  <c r="AI61" i="47" s="1"/>
  <c r="BG61" i="47" s="1"/>
  <c r="AE62" i="47"/>
  <c r="AI62" i="47" s="1"/>
  <c r="BG62" i="47" s="1"/>
  <c r="AE63" i="47"/>
  <c r="AI63" i="47" s="1"/>
  <c r="BG63" i="47" s="1"/>
  <c r="AE64" i="47"/>
  <c r="AE65" i="47"/>
  <c r="AI65" i="47" s="1"/>
  <c r="BG65" i="47" s="1"/>
  <c r="AE66" i="47"/>
  <c r="AI66" i="47" s="1"/>
  <c r="BG66" i="47" s="1"/>
  <c r="AE67" i="47"/>
  <c r="AI67" i="47" s="1"/>
  <c r="BG67" i="47" s="1"/>
  <c r="AE68" i="47"/>
  <c r="AI68" i="47" s="1"/>
  <c r="BG68" i="47" s="1"/>
  <c r="AE69" i="47"/>
  <c r="AI69" i="47" s="1"/>
  <c r="BG69" i="47" s="1"/>
  <c r="AE70" i="47"/>
  <c r="AI70" i="47" s="1"/>
  <c r="BG70" i="47" s="1"/>
  <c r="AE71" i="47"/>
  <c r="AI71" i="47" s="1"/>
  <c r="BG71" i="47" s="1"/>
  <c r="AE72" i="47"/>
  <c r="AE73" i="47"/>
  <c r="AI73" i="47" s="1"/>
  <c r="BG73" i="47" s="1"/>
  <c r="AE74" i="47"/>
  <c r="AI74" i="47" s="1"/>
  <c r="BG74" i="47" s="1"/>
  <c r="AE75" i="47"/>
  <c r="AI75" i="47" s="1"/>
  <c r="BG75" i="47" s="1"/>
  <c r="AE76" i="47"/>
  <c r="AI76" i="47" s="1"/>
  <c r="BG76" i="47" s="1"/>
  <c r="AE77" i="47"/>
  <c r="AI77" i="47" s="1"/>
  <c r="BG77" i="47" s="1"/>
  <c r="AE78" i="47"/>
  <c r="AI78" i="47" s="1"/>
  <c r="BG78" i="47" s="1"/>
  <c r="AE79" i="47"/>
  <c r="AI79" i="47" s="1"/>
  <c r="BG79" i="47" s="1"/>
  <c r="AE80" i="47"/>
  <c r="AE81" i="47"/>
  <c r="AI81" i="47" s="1"/>
  <c r="BG81" i="47" s="1"/>
  <c r="G82" i="47"/>
  <c r="H82" i="47"/>
  <c r="E82" i="47"/>
  <c r="F82" i="47"/>
  <c r="BN75" i="47"/>
  <c r="BN80" i="47"/>
  <c r="AL33" i="45"/>
  <c r="AM33" i="45"/>
  <c r="AN33" i="45"/>
  <c r="AO33" i="45"/>
  <c r="AP33" i="45"/>
  <c r="AR33" i="45"/>
  <c r="AS33" i="45"/>
  <c r="AT33" i="45"/>
  <c r="AU33" i="45"/>
  <c r="AV33" i="45"/>
  <c r="AW33" i="45"/>
  <c r="AX33" i="45"/>
  <c r="AY33" i="45"/>
  <c r="AZ33" i="45"/>
  <c r="AK33" i="45"/>
  <c r="AD33" i="45"/>
  <c r="AF10" i="45"/>
  <c r="AF11" i="45"/>
  <c r="AH11" i="45" s="1"/>
  <c r="AF12" i="45"/>
  <c r="AF13" i="45"/>
  <c r="AG13" i="45" s="1"/>
  <c r="AF14" i="45"/>
  <c r="AF15" i="45"/>
  <c r="AH15" i="45" s="1"/>
  <c r="AF16" i="45"/>
  <c r="AG16" i="45" s="1"/>
  <c r="AF17" i="45"/>
  <c r="AG17" i="45" s="1"/>
  <c r="AF18" i="45"/>
  <c r="AF19" i="45"/>
  <c r="AH19" i="45" s="1"/>
  <c r="AF20" i="45"/>
  <c r="AF21" i="45"/>
  <c r="AG21" i="45" s="1"/>
  <c r="AF22" i="45"/>
  <c r="AF23" i="45"/>
  <c r="AH23" i="45" s="1"/>
  <c r="AF24" i="45"/>
  <c r="AG24" i="45" s="1"/>
  <c r="AF25" i="45"/>
  <c r="AG25" i="45" s="1"/>
  <c r="AF26" i="45"/>
  <c r="AF27" i="45"/>
  <c r="AH27" i="45" s="1"/>
  <c r="AF28" i="45"/>
  <c r="AF29" i="45"/>
  <c r="AG29" i="45" s="1"/>
  <c r="AF30" i="45"/>
  <c r="AF31" i="45"/>
  <c r="AH31" i="45" s="1"/>
  <c r="AF32" i="45"/>
  <c r="AG32" i="45" s="1"/>
  <c r="AF9" i="45"/>
  <c r="AH9" i="45" s="1"/>
  <c r="AE33" i="45"/>
  <c r="AF52" i="45"/>
  <c r="AF60" i="45"/>
  <c r="AD47" i="45"/>
  <c r="AF47" i="45" s="1"/>
  <c r="AD48" i="45"/>
  <c r="AH48" i="45" s="1"/>
  <c r="BE48" i="45" s="1"/>
  <c r="AD49" i="45"/>
  <c r="AF49" i="45" s="1"/>
  <c r="AD50" i="45"/>
  <c r="AH50" i="45" s="1"/>
  <c r="BE50" i="45" s="1"/>
  <c r="AD51" i="45"/>
  <c r="AF51" i="45" s="1"/>
  <c r="AD52" i="45"/>
  <c r="AH52" i="45" s="1"/>
  <c r="AD53" i="45"/>
  <c r="AH53" i="45" s="1"/>
  <c r="BE53" i="45" s="1"/>
  <c r="AD54" i="45"/>
  <c r="AH54" i="45" s="1"/>
  <c r="BE54" i="45" s="1"/>
  <c r="AD55" i="45"/>
  <c r="AF55" i="45" s="1"/>
  <c r="AD56" i="45"/>
  <c r="AH56" i="45" s="1"/>
  <c r="BE56" i="45" s="1"/>
  <c r="AD57" i="45"/>
  <c r="AF57" i="45" s="1"/>
  <c r="AD58" i="45"/>
  <c r="AF58" i="45" s="1"/>
  <c r="AD59" i="45"/>
  <c r="AF59" i="45" s="1"/>
  <c r="AD60" i="45"/>
  <c r="AH60" i="45" s="1"/>
  <c r="BE60" i="45" s="1"/>
  <c r="AD61" i="45"/>
  <c r="AH61" i="45" s="1"/>
  <c r="BE61" i="45" s="1"/>
  <c r="AD62" i="45"/>
  <c r="AH62" i="45" s="1"/>
  <c r="BE62" i="45" s="1"/>
  <c r="AD63" i="45"/>
  <c r="AF63" i="45" s="1"/>
  <c r="AD64" i="45"/>
  <c r="AH64" i="45" s="1"/>
  <c r="BE64" i="45" s="1"/>
  <c r="AD65" i="45"/>
  <c r="AF65" i="45" s="1"/>
  <c r="AD66" i="45"/>
  <c r="AH66" i="45" s="1"/>
  <c r="BE66" i="45" s="1"/>
  <c r="AD46" i="45"/>
  <c r="AF46" i="45" s="1"/>
  <c r="AB33" i="45"/>
  <c r="AC33" i="45"/>
  <c r="V33" i="45"/>
  <c r="W33" i="45"/>
  <c r="X33" i="45"/>
  <c r="Y33" i="45"/>
  <c r="BN51" i="47"/>
  <c r="BN52" i="47"/>
  <c r="BN53" i="47"/>
  <c r="BN54" i="47"/>
  <c r="BN55" i="47"/>
  <c r="BN56" i="47"/>
  <c r="BN57" i="47"/>
  <c r="BN58" i="47"/>
  <c r="BN59" i="47"/>
  <c r="BN60" i="47"/>
  <c r="BN61" i="47"/>
  <c r="BN62" i="47"/>
  <c r="BN63" i="47"/>
  <c r="BN64" i="47"/>
  <c r="BN65" i="47"/>
  <c r="BN66" i="47"/>
  <c r="BN67" i="47"/>
  <c r="BN73" i="47"/>
  <c r="BN76" i="47"/>
  <c r="BN81" i="47"/>
  <c r="BN50" i="47"/>
  <c r="BM82" i="47"/>
  <c r="BJ82" i="47"/>
  <c r="BK82" i="47"/>
  <c r="BL82" i="47"/>
  <c r="BI82" i="47"/>
  <c r="AT82" i="47"/>
  <c r="AU82" i="47"/>
  <c r="AV82" i="47"/>
  <c r="AW82" i="47"/>
  <c r="AX82" i="47"/>
  <c r="AY82" i="47"/>
  <c r="AZ82" i="47"/>
  <c r="BA82" i="47"/>
  <c r="BB82" i="47"/>
  <c r="BC82" i="47"/>
  <c r="BD82" i="47"/>
  <c r="BE82" i="47"/>
  <c r="BF82" i="47"/>
  <c r="AC30" i="14"/>
  <c r="AM82" i="47"/>
  <c r="AN82" i="47"/>
  <c r="AO82" i="47"/>
  <c r="AP82" i="47"/>
  <c r="AQ82" i="47"/>
  <c r="AR82" i="47"/>
  <c r="AS82" i="47"/>
  <c r="AL82" i="47"/>
  <c r="H45" i="47"/>
  <c r="AZ22" i="47"/>
  <c r="AZ23" i="47"/>
  <c r="AZ24" i="47"/>
  <c r="AZ25" i="47"/>
  <c r="AZ26" i="47"/>
  <c r="AZ21" i="47"/>
  <c r="AZ15" i="47"/>
  <c r="H44" i="47"/>
  <c r="AX10" i="47"/>
  <c r="AX11" i="47"/>
  <c r="AX12" i="47"/>
  <c r="AX13" i="47"/>
  <c r="AX14" i="47"/>
  <c r="AX15" i="47"/>
  <c r="AX16" i="47"/>
  <c r="AX17" i="47"/>
  <c r="AX18" i="47"/>
  <c r="AX19" i="47"/>
  <c r="AX20" i="47"/>
  <c r="AX21" i="47"/>
  <c r="AX22" i="47"/>
  <c r="AX23" i="47"/>
  <c r="AX24" i="47"/>
  <c r="AX25" i="47"/>
  <c r="AX26" i="47"/>
  <c r="AX27" i="47"/>
  <c r="AX28" i="47"/>
  <c r="AX29" i="47"/>
  <c r="AX30" i="47"/>
  <c r="AX31" i="47"/>
  <c r="AX32" i="47"/>
  <c r="AX33" i="47"/>
  <c r="AX34" i="47"/>
  <c r="AX35" i="47"/>
  <c r="AX36" i="47"/>
  <c r="AX37" i="47"/>
  <c r="AX38" i="47"/>
  <c r="AX39" i="47"/>
  <c r="AX40" i="47"/>
  <c r="AX9" i="47"/>
  <c r="AW10" i="47"/>
  <c r="AW11" i="47"/>
  <c r="AW12" i="47"/>
  <c r="AW13" i="47"/>
  <c r="AW14" i="47"/>
  <c r="AW15" i="47"/>
  <c r="AW16" i="47"/>
  <c r="AW17" i="47"/>
  <c r="AW18" i="47"/>
  <c r="AW19" i="47"/>
  <c r="AW20" i="47"/>
  <c r="AW21" i="47"/>
  <c r="AW22" i="47"/>
  <c r="AW23" i="47"/>
  <c r="AW24" i="47"/>
  <c r="AW25" i="47"/>
  <c r="AW26" i="47"/>
  <c r="AW27" i="47"/>
  <c r="AW28" i="47"/>
  <c r="AW29" i="47"/>
  <c r="AW30" i="47"/>
  <c r="AW31" i="47"/>
  <c r="AW32" i="47"/>
  <c r="AW33" i="47"/>
  <c r="AW34" i="47"/>
  <c r="AW35" i="47"/>
  <c r="AW36" i="47"/>
  <c r="AW37" i="47"/>
  <c r="AW38" i="47"/>
  <c r="AW39" i="47"/>
  <c r="AW40" i="47"/>
  <c r="AW9" i="47"/>
  <c r="AS10" i="47"/>
  <c r="AS11" i="47"/>
  <c r="AS12" i="47"/>
  <c r="AS13" i="47"/>
  <c r="AS14" i="47"/>
  <c r="AS15" i="47"/>
  <c r="AS16" i="47"/>
  <c r="AS17" i="47"/>
  <c r="AS18" i="47"/>
  <c r="AS19" i="47"/>
  <c r="AS20" i="47"/>
  <c r="AS21" i="47"/>
  <c r="AS22" i="47"/>
  <c r="AS23" i="47"/>
  <c r="AS24" i="47"/>
  <c r="AS25" i="47"/>
  <c r="AS26" i="47"/>
  <c r="AS27" i="47"/>
  <c r="AS28" i="47"/>
  <c r="AS29" i="47"/>
  <c r="AS30" i="47"/>
  <c r="AS31" i="47"/>
  <c r="AS32" i="47"/>
  <c r="AS33" i="47"/>
  <c r="AS34" i="47"/>
  <c r="AS35" i="47"/>
  <c r="AS36" i="47"/>
  <c r="AS37" i="47"/>
  <c r="AS38" i="47"/>
  <c r="AS39" i="47"/>
  <c r="AS40" i="47"/>
  <c r="AS9" i="47"/>
  <c r="AR10" i="47"/>
  <c r="AR11" i="47"/>
  <c r="AR12" i="47"/>
  <c r="AR13" i="47"/>
  <c r="AR14" i="47"/>
  <c r="AR15" i="47"/>
  <c r="AR16" i="47"/>
  <c r="AR17" i="47"/>
  <c r="AR18" i="47"/>
  <c r="AR19" i="47"/>
  <c r="AR20" i="47"/>
  <c r="AR21" i="47"/>
  <c r="AR22" i="47"/>
  <c r="AR23" i="47"/>
  <c r="AR24" i="47"/>
  <c r="AR25" i="47"/>
  <c r="AR26" i="47"/>
  <c r="AR27" i="47"/>
  <c r="AR28" i="47"/>
  <c r="AR29" i="47"/>
  <c r="AR30" i="47"/>
  <c r="AR31" i="47"/>
  <c r="AR32" i="47"/>
  <c r="AR33" i="47"/>
  <c r="AR34" i="47"/>
  <c r="AR35" i="47"/>
  <c r="AR36" i="47"/>
  <c r="AR37" i="47"/>
  <c r="AR38" i="47"/>
  <c r="AR39" i="47"/>
  <c r="AR40" i="47"/>
  <c r="AR9" i="47"/>
  <c r="AQ41" i="47"/>
  <c r="AP10" i="47"/>
  <c r="AP11" i="47"/>
  <c r="AP12" i="47"/>
  <c r="AP13" i="47"/>
  <c r="AP14" i="47"/>
  <c r="AP15" i="47"/>
  <c r="AP16" i="47"/>
  <c r="AP17" i="47"/>
  <c r="AP18" i="47"/>
  <c r="AP19" i="47"/>
  <c r="AP20" i="47"/>
  <c r="AP21" i="47"/>
  <c r="AP22" i="47"/>
  <c r="AP23" i="47"/>
  <c r="AP24" i="47"/>
  <c r="AP25" i="47"/>
  <c r="AP26" i="47"/>
  <c r="AP27" i="47"/>
  <c r="AP28" i="47"/>
  <c r="AP29" i="47"/>
  <c r="AP30" i="47"/>
  <c r="AP31" i="47"/>
  <c r="AP32" i="47"/>
  <c r="AP33" i="47"/>
  <c r="AP34" i="47"/>
  <c r="AP35" i="47"/>
  <c r="AP36" i="47"/>
  <c r="AP37" i="47"/>
  <c r="AP38" i="47"/>
  <c r="AP39" i="47"/>
  <c r="AP40" i="47"/>
  <c r="AP9" i="47"/>
  <c r="AM41" i="47"/>
  <c r="AN41" i="47"/>
  <c r="AO41" i="47"/>
  <c r="AT41" i="47"/>
  <c r="AU41" i="47"/>
  <c r="AV41" i="47"/>
  <c r="AY41" i="47"/>
  <c r="AL41" i="47"/>
  <c r="AG39" i="47"/>
  <c r="AI39" i="47" s="1"/>
  <c r="AG40" i="47"/>
  <c r="AI40" i="47" s="1"/>
  <c r="AG10" i="47"/>
  <c r="AH10" i="47" s="1"/>
  <c r="AG11" i="47"/>
  <c r="AH11" i="47" s="1"/>
  <c r="AH52" i="47" s="1"/>
  <c r="AJ52" i="47" s="1"/>
  <c r="AG12" i="47"/>
  <c r="AI12" i="47" s="1"/>
  <c r="AG13" i="47"/>
  <c r="AI13" i="47" s="1"/>
  <c r="AG14" i="47"/>
  <c r="AI14" i="47" s="1"/>
  <c r="AG15" i="47"/>
  <c r="AH15" i="47" s="1"/>
  <c r="AH56" i="47" s="1"/>
  <c r="AJ56" i="47" s="1"/>
  <c r="AG16" i="47"/>
  <c r="AI16" i="47" s="1"/>
  <c r="AG17" i="47"/>
  <c r="AI17" i="47" s="1"/>
  <c r="AG18" i="47"/>
  <c r="AI18" i="47" s="1"/>
  <c r="AG19" i="47"/>
  <c r="AI19" i="47" s="1"/>
  <c r="AG20" i="47"/>
  <c r="AI20" i="47" s="1"/>
  <c r="AG21" i="47"/>
  <c r="AI21" i="47" s="1"/>
  <c r="AG22" i="47"/>
  <c r="AI22" i="47" s="1"/>
  <c r="AG23" i="47"/>
  <c r="AI23" i="47" s="1"/>
  <c r="AG24" i="47"/>
  <c r="AH24" i="47" s="1"/>
  <c r="AJ24" i="47" s="1"/>
  <c r="AG25" i="47"/>
  <c r="AI25" i="47" s="1"/>
  <c r="AG26" i="47"/>
  <c r="AI26" i="47" s="1"/>
  <c r="AG27" i="47"/>
  <c r="AI27" i="47" s="1"/>
  <c r="AG28" i="47"/>
  <c r="AI28" i="47" s="1"/>
  <c r="AG29" i="47"/>
  <c r="AI29" i="47" s="1"/>
  <c r="AG30" i="47"/>
  <c r="AI30" i="47" s="1"/>
  <c r="AG31" i="47"/>
  <c r="AI31" i="47" s="1"/>
  <c r="AG32" i="47"/>
  <c r="AH32" i="47" s="1"/>
  <c r="AJ32" i="47" s="1"/>
  <c r="AG33" i="47"/>
  <c r="AH33" i="47" s="1"/>
  <c r="AJ33" i="47" s="1"/>
  <c r="AG34" i="47"/>
  <c r="AI34" i="47" s="1"/>
  <c r="AG35" i="47"/>
  <c r="AI35" i="47" s="1"/>
  <c r="AG36" i="47"/>
  <c r="AI36" i="47" s="1"/>
  <c r="AG37" i="47"/>
  <c r="AI37" i="47" s="1"/>
  <c r="AG38" i="47"/>
  <c r="AI38" i="47" s="1"/>
  <c r="AG9" i="47"/>
  <c r="AI9" i="47" s="1"/>
  <c r="AE50" i="47"/>
  <c r="U41" i="47"/>
  <c r="V41" i="47"/>
  <c r="S41" i="47"/>
  <c r="T41" i="47"/>
  <c r="Q41" i="47"/>
  <c r="R41" i="47"/>
  <c r="O41" i="47"/>
  <c r="P41" i="47"/>
  <c r="AD82" i="47"/>
  <c r="AC82" i="47"/>
  <c r="Z82" i="47"/>
  <c r="Y82" i="47"/>
  <c r="X82" i="47"/>
  <c r="W82" i="47"/>
  <c r="N82" i="47"/>
  <c r="M82" i="47"/>
  <c r="L82" i="47"/>
  <c r="K82" i="47"/>
  <c r="J82" i="47"/>
  <c r="I82" i="47"/>
  <c r="AQ25" i="14"/>
  <c r="AQ26" i="14"/>
  <c r="AQ24" i="14"/>
  <c r="AQ11" i="14"/>
  <c r="AQ12" i="14"/>
  <c r="AQ13" i="14"/>
  <c r="AQ14" i="14"/>
  <c r="AC14" i="14" s="1"/>
  <c r="AQ15" i="14"/>
  <c r="AQ16" i="14"/>
  <c r="AQ17" i="14"/>
  <c r="AQ18" i="14"/>
  <c r="AC18" i="14" s="1"/>
  <c r="AQ19" i="14"/>
  <c r="AQ10" i="14"/>
  <c r="AE80" i="14"/>
  <c r="AF80" i="14"/>
  <c r="AG80" i="14"/>
  <c r="AH80" i="14"/>
  <c r="AI80" i="14"/>
  <c r="AJ80" i="14"/>
  <c r="AK80" i="14"/>
  <c r="AL80" i="14"/>
  <c r="AC51" i="14"/>
  <c r="AC52" i="14"/>
  <c r="AC53" i="14"/>
  <c r="AC54" i="14"/>
  <c r="AC55" i="14"/>
  <c r="AC56" i="14"/>
  <c r="AC57" i="14"/>
  <c r="AC58" i="14"/>
  <c r="AC59" i="14"/>
  <c r="AC64" i="14"/>
  <c r="AC65" i="14"/>
  <c r="AC66" i="14"/>
  <c r="AC79" i="14"/>
  <c r="AR25" i="14"/>
  <c r="AR26" i="14"/>
  <c r="AR24" i="14"/>
  <c r="AR11" i="14"/>
  <c r="AR12" i="14"/>
  <c r="AR13" i="14"/>
  <c r="AR14" i="14"/>
  <c r="AR15" i="14"/>
  <c r="AR16" i="14"/>
  <c r="AR17" i="14"/>
  <c r="AR18" i="14"/>
  <c r="AR19" i="14"/>
  <c r="AR10" i="14"/>
  <c r="H42" i="14"/>
  <c r="AO11" i="14"/>
  <c r="AO12" i="14"/>
  <c r="AO13" i="14"/>
  <c r="AO14" i="14"/>
  <c r="AO15" i="14"/>
  <c r="AO16" i="14"/>
  <c r="AO17" i="14"/>
  <c r="AO18" i="14"/>
  <c r="AO19" i="14"/>
  <c r="AO20" i="14"/>
  <c r="AO21" i="14"/>
  <c r="AO22" i="14"/>
  <c r="AO23" i="14"/>
  <c r="AO24" i="14"/>
  <c r="AO25" i="14"/>
  <c r="AO26" i="14"/>
  <c r="AO27" i="14"/>
  <c r="AO28" i="14"/>
  <c r="AO29" i="14"/>
  <c r="AO30" i="14"/>
  <c r="AO31" i="14"/>
  <c r="AO32" i="14"/>
  <c r="AO33" i="14"/>
  <c r="AO34" i="14"/>
  <c r="AO35" i="14"/>
  <c r="AO36" i="14"/>
  <c r="AO37" i="14"/>
  <c r="AO38" i="14"/>
  <c r="AO39" i="14"/>
  <c r="AO10" i="14"/>
  <c r="AN11" i="14"/>
  <c r="AN12" i="14"/>
  <c r="AN13" i="14"/>
  <c r="AN14" i="14"/>
  <c r="AN15" i="14"/>
  <c r="AN16" i="14"/>
  <c r="AN17" i="14"/>
  <c r="AN18" i="14"/>
  <c r="AN19" i="14"/>
  <c r="AN20" i="14"/>
  <c r="AN21" i="14"/>
  <c r="AN22" i="14"/>
  <c r="AN23" i="14"/>
  <c r="AN24" i="14"/>
  <c r="AN25" i="14"/>
  <c r="AN26" i="14"/>
  <c r="AN27" i="14"/>
  <c r="AN28" i="14"/>
  <c r="AN29" i="14"/>
  <c r="AN30" i="14"/>
  <c r="AN31" i="14"/>
  <c r="AN32" i="14"/>
  <c r="AN33" i="14"/>
  <c r="AN34" i="14"/>
  <c r="AN35" i="14"/>
  <c r="AN36" i="14"/>
  <c r="AN37" i="14"/>
  <c r="AN38" i="14"/>
  <c r="AN39" i="14"/>
  <c r="AN10" i="14"/>
  <c r="AH11" i="14"/>
  <c r="AH12" i="14"/>
  <c r="AH13" i="14"/>
  <c r="AH14" i="14"/>
  <c r="AH15" i="14"/>
  <c r="AH16" i="14"/>
  <c r="AH17" i="14"/>
  <c r="AH18" i="14"/>
  <c r="AH19" i="14"/>
  <c r="AH20" i="14"/>
  <c r="AH21" i="14"/>
  <c r="AH22" i="14"/>
  <c r="AC22" i="14" s="1"/>
  <c r="AH23" i="14"/>
  <c r="AH24" i="14"/>
  <c r="AH25" i="14"/>
  <c r="AH26" i="14"/>
  <c r="AC26" i="14" s="1"/>
  <c r="AH27" i="14"/>
  <c r="AH28" i="14"/>
  <c r="AH29" i="14"/>
  <c r="AH30" i="14"/>
  <c r="AH31" i="14"/>
  <c r="AH32" i="14"/>
  <c r="AH33" i="14"/>
  <c r="AH34" i="14"/>
  <c r="AC34" i="14" s="1"/>
  <c r="AH35" i="14"/>
  <c r="AH36" i="14"/>
  <c r="AH37" i="14"/>
  <c r="AH38" i="14"/>
  <c r="AC38" i="14" s="1"/>
  <c r="AH39" i="14"/>
  <c r="AH10" i="14"/>
  <c r="AP11" i="14"/>
  <c r="AP12" i="14"/>
  <c r="AP13" i="14"/>
  <c r="AP14" i="14"/>
  <c r="AP15" i="14"/>
  <c r="AP16" i="14"/>
  <c r="AP17" i="14"/>
  <c r="AP18" i="14"/>
  <c r="AP19" i="14"/>
  <c r="AP20" i="14"/>
  <c r="AP21" i="14"/>
  <c r="AP22" i="14"/>
  <c r="AP23" i="14"/>
  <c r="AP24" i="14"/>
  <c r="AP25" i="14"/>
  <c r="AP26" i="14"/>
  <c r="AP27" i="14"/>
  <c r="AP28" i="14"/>
  <c r="AP29" i="14"/>
  <c r="AP30" i="14"/>
  <c r="AP31" i="14"/>
  <c r="AP32" i="14"/>
  <c r="AP33" i="14"/>
  <c r="AP34" i="14"/>
  <c r="AP35" i="14"/>
  <c r="AP36" i="14"/>
  <c r="AP37" i="14"/>
  <c r="AP38" i="14"/>
  <c r="AP39" i="14"/>
  <c r="AP10" i="14"/>
  <c r="AJ11" i="14"/>
  <c r="AJ12" i="14"/>
  <c r="AJ13" i="14"/>
  <c r="AJ14" i="14"/>
  <c r="AJ15" i="14"/>
  <c r="AJ16" i="14"/>
  <c r="AJ17" i="14"/>
  <c r="AJ18" i="14"/>
  <c r="AJ19" i="14"/>
  <c r="AJ20" i="14"/>
  <c r="AJ21" i="14"/>
  <c r="AJ22" i="14"/>
  <c r="AJ23" i="14"/>
  <c r="AJ24" i="14"/>
  <c r="AJ25" i="14"/>
  <c r="AJ26" i="14"/>
  <c r="AJ27" i="14"/>
  <c r="AJ28" i="14"/>
  <c r="AJ29" i="14"/>
  <c r="AJ30" i="14"/>
  <c r="AJ31" i="14"/>
  <c r="AJ32" i="14"/>
  <c r="AJ33" i="14"/>
  <c r="AJ34" i="14"/>
  <c r="AJ35" i="14"/>
  <c r="AJ36" i="14"/>
  <c r="AJ37" i="14"/>
  <c r="AJ38" i="14"/>
  <c r="AJ39" i="14"/>
  <c r="AJ10" i="14"/>
  <c r="AD40" i="14"/>
  <c r="AE40" i="14"/>
  <c r="AF40" i="14"/>
  <c r="AG40" i="14"/>
  <c r="AI40" i="14"/>
  <c r="AK40" i="14"/>
  <c r="AL40" i="14"/>
  <c r="AM40" i="14"/>
  <c r="X37" i="51" l="1"/>
  <c r="I74" i="51"/>
  <c r="J74" i="51" s="1"/>
  <c r="AC33" i="14"/>
  <c r="AC21" i="14"/>
  <c r="AG75" i="47"/>
  <c r="AG51" i="47"/>
  <c r="AI59" i="47"/>
  <c r="BG59" i="47" s="1"/>
  <c r="AN64" i="14"/>
  <c r="AC36" i="14"/>
  <c r="AC24" i="14"/>
  <c r="AC20" i="14"/>
  <c r="AP40" i="14"/>
  <c r="AC35" i="14"/>
  <c r="AC27" i="14"/>
  <c r="AC23" i="14"/>
  <c r="AC15" i="14"/>
  <c r="AG30" i="45"/>
  <c r="AG67" i="45" s="1"/>
  <c r="AI67" i="45" s="1"/>
  <c r="AH30" i="45"/>
  <c r="AG26" i="45"/>
  <c r="AH26" i="45"/>
  <c r="AG22" i="45"/>
  <c r="AI22" i="45" s="1"/>
  <c r="AH22" i="45"/>
  <c r="AG18" i="45"/>
  <c r="AH18" i="45"/>
  <c r="AG14" i="45"/>
  <c r="AI14" i="45" s="1"/>
  <c r="AH14" i="45"/>
  <c r="AG10" i="45"/>
  <c r="AH10" i="45"/>
  <c r="AG76" i="47"/>
  <c r="AG68" i="47"/>
  <c r="AG60" i="47"/>
  <c r="AG52" i="47"/>
  <c r="Y60" i="14"/>
  <c r="Y56" i="14"/>
  <c r="Y52" i="14"/>
  <c r="AA77" i="14"/>
  <c r="AN77" i="14" s="1"/>
  <c r="AA73" i="14"/>
  <c r="AN73" i="14" s="1"/>
  <c r="AA69" i="14"/>
  <c r="AN69" i="14" s="1"/>
  <c r="AA65" i="14"/>
  <c r="AN65" i="14" s="1"/>
  <c r="AA54" i="14"/>
  <c r="AN54" i="14" s="1"/>
  <c r="AH32" i="45"/>
  <c r="BC32" i="45" s="1"/>
  <c r="N12" i="28"/>
  <c r="W42" i="20"/>
  <c r="U42" i="20"/>
  <c r="S18" i="20" s="1"/>
  <c r="U38" i="20"/>
  <c r="S14" i="20" s="1"/>
  <c r="T14" i="20" s="1"/>
  <c r="W38" i="20"/>
  <c r="Y42" i="20"/>
  <c r="AC29" i="14"/>
  <c r="AC17" i="14"/>
  <c r="AG67" i="47"/>
  <c r="AC28" i="14"/>
  <c r="AC12" i="14"/>
  <c r="AG28" i="45"/>
  <c r="AG65" i="45" s="1"/>
  <c r="AI65" i="45" s="1"/>
  <c r="AH28" i="45"/>
  <c r="BC28" i="45" s="1"/>
  <c r="AG20" i="45"/>
  <c r="AH20" i="45"/>
  <c r="BC20" i="45" s="1"/>
  <c r="AG12" i="45"/>
  <c r="AI12" i="45" s="1"/>
  <c r="AH12" i="45"/>
  <c r="BC12" i="45" s="1"/>
  <c r="Y78" i="14"/>
  <c r="Y74" i="14"/>
  <c r="Y70" i="14"/>
  <c r="Y66" i="14"/>
  <c r="Y62" i="14"/>
  <c r="Y58" i="14"/>
  <c r="AA57" i="14"/>
  <c r="AN57" i="14" s="1"/>
  <c r="AH16" i="45"/>
  <c r="BC16" i="45" s="1"/>
  <c r="AC37" i="14"/>
  <c r="AC25" i="14"/>
  <c r="AC13" i="14"/>
  <c r="AC10" i="14"/>
  <c r="AC32" i="14"/>
  <c r="AC16" i="14"/>
  <c r="AC39" i="14"/>
  <c r="AC31" i="14"/>
  <c r="AC19" i="14"/>
  <c r="AC11" i="14"/>
  <c r="BC31" i="45"/>
  <c r="BC27" i="45"/>
  <c r="BC23" i="45"/>
  <c r="BC19" i="45"/>
  <c r="BC15" i="45"/>
  <c r="BC11" i="45"/>
  <c r="AG79" i="47"/>
  <c r="AG71" i="47"/>
  <c r="AG63" i="47"/>
  <c r="AG55" i="47"/>
  <c r="Y61" i="14"/>
  <c r="AJ9" i="48"/>
  <c r="BE9" i="48" s="1"/>
  <c r="N15" i="28"/>
  <c r="AF13" i="48"/>
  <c r="AH13" i="48" s="1"/>
  <c r="AE14" i="39"/>
  <c r="Y35" i="20"/>
  <c r="Y41" i="20"/>
  <c r="AE21" i="20"/>
  <c r="AJ28" i="48"/>
  <c r="AS28" i="48" s="1"/>
  <c r="AF15" i="48"/>
  <c r="AH15" i="48" s="1"/>
  <c r="AJ15" i="48" s="1"/>
  <c r="AF11" i="48"/>
  <c r="AH11" i="48" s="1"/>
  <c r="AE27" i="42"/>
  <c r="AH68" i="45"/>
  <c r="BE68" i="45" s="1"/>
  <c r="AH32" i="48"/>
  <c r="AF14" i="48"/>
  <c r="AH14" i="48" s="1"/>
  <c r="AJ14" i="48" s="1"/>
  <c r="AF10" i="48"/>
  <c r="AH10" i="48" s="1"/>
  <c r="U39" i="20"/>
  <c r="S15" i="20" s="1"/>
  <c r="U15" i="20" s="1"/>
  <c r="W15" i="20" s="1"/>
  <c r="Y40" i="20"/>
  <c r="U27" i="42"/>
  <c r="AQ23" i="20"/>
  <c r="BA20" i="47"/>
  <c r="AK40" i="47"/>
  <c r="BA40" i="47" s="1"/>
  <c r="AK36" i="47"/>
  <c r="BA36" i="47" s="1"/>
  <c r="AK32" i="47"/>
  <c r="AK28" i="47"/>
  <c r="BA28" i="47" s="1"/>
  <c r="AK24" i="47"/>
  <c r="AK20" i="47"/>
  <c r="AK16" i="47"/>
  <c r="BA16" i="47" s="1"/>
  <c r="AK12" i="47"/>
  <c r="BA12" i="47" s="1"/>
  <c r="AG81" i="47"/>
  <c r="AG77" i="47"/>
  <c r="AG73" i="47"/>
  <c r="AG69" i="47"/>
  <c r="AG65" i="47"/>
  <c r="AG61" i="47"/>
  <c r="AG57" i="47"/>
  <c r="AG53" i="47"/>
  <c r="AG78" i="47"/>
  <c r="AG74" i="47"/>
  <c r="AG70" i="47"/>
  <c r="AG66" i="47"/>
  <c r="AG62" i="47"/>
  <c r="AG58" i="47"/>
  <c r="AG54" i="47"/>
  <c r="AH73" i="47"/>
  <c r="AJ73" i="47" s="1"/>
  <c r="AH65" i="47"/>
  <c r="AJ65" i="47" s="1"/>
  <c r="AH74" i="47"/>
  <c r="AJ74" i="47" s="1"/>
  <c r="Y21" i="20"/>
  <c r="AT16" i="20"/>
  <c r="AT8" i="20"/>
  <c r="U18" i="20"/>
  <c r="W18" i="20" s="1"/>
  <c r="AT18" i="20" s="1"/>
  <c r="T18" i="20"/>
  <c r="U7" i="20"/>
  <c r="W7" i="20" s="1"/>
  <c r="AT7" i="20" s="1"/>
  <c r="T7" i="20"/>
  <c r="U17" i="20"/>
  <c r="W17" i="20" s="1"/>
  <c r="AT17" i="20" s="1"/>
  <c r="T17" i="20"/>
  <c r="U13" i="20"/>
  <c r="W13" i="20" s="1"/>
  <c r="AT13" i="20" s="1"/>
  <c r="T13" i="20"/>
  <c r="U9" i="20"/>
  <c r="W9" i="20" s="1"/>
  <c r="AT9" i="20" s="1"/>
  <c r="T9" i="20"/>
  <c r="AT20" i="20"/>
  <c r="AT12" i="20"/>
  <c r="AT15" i="20"/>
  <c r="U10" i="20"/>
  <c r="W10" i="20" s="1"/>
  <c r="AT10" i="20" s="1"/>
  <c r="T10" i="20"/>
  <c r="AT19" i="20"/>
  <c r="AT11" i="20"/>
  <c r="T19" i="20"/>
  <c r="T11" i="20"/>
  <c r="T20" i="20"/>
  <c r="T16" i="20"/>
  <c r="T12" i="20"/>
  <c r="T8" i="20"/>
  <c r="W44" i="20"/>
  <c r="W40" i="20"/>
  <c r="W36" i="20"/>
  <c r="W32" i="20"/>
  <c r="T15" i="20"/>
  <c r="W31" i="20"/>
  <c r="W41" i="20"/>
  <c r="W37" i="20"/>
  <c r="W33" i="20"/>
  <c r="BC26" i="45"/>
  <c r="BC18" i="45"/>
  <c r="BC10" i="45"/>
  <c r="BC30" i="45"/>
  <c r="BC22" i="45"/>
  <c r="BC14" i="45"/>
  <c r="BC9" i="45"/>
  <c r="AI28" i="45"/>
  <c r="AG66" i="45"/>
  <c r="AI66" i="45" s="1"/>
  <c r="AI29" i="45"/>
  <c r="AG62" i="45"/>
  <c r="AI62" i="45" s="1"/>
  <c r="AI25" i="45"/>
  <c r="AG58" i="45"/>
  <c r="AI58" i="45" s="1"/>
  <c r="AI21" i="45"/>
  <c r="AG54" i="45"/>
  <c r="AI54" i="45" s="1"/>
  <c r="AI17" i="45"/>
  <c r="AG50" i="45"/>
  <c r="AI50" i="45" s="1"/>
  <c r="AI13" i="45"/>
  <c r="AI30" i="45"/>
  <c r="AG63" i="45"/>
  <c r="AI63" i="45" s="1"/>
  <c r="AI26" i="45"/>
  <c r="AG59" i="45"/>
  <c r="AI59" i="45" s="1"/>
  <c r="AG55" i="45"/>
  <c r="AI55" i="45" s="1"/>
  <c r="AI18" i="45"/>
  <c r="AG47" i="45"/>
  <c r="AI10" i="45"/>
  <c r="AG69" i="45"/>
  <c r="AI69" i="45" s="1"/>
  <c r="AI32" i="45"/>
  <c r="AG61" i="45"/>
  <c r="AI61" i="45" s="1"/>
  <c r="AI24" i="45"/>
  <c r="AG57" i="45"/>
  <c r="AI57" i="45" s="1"/>
  <c r="AI20" i="45"/>
  <c r="AG53" i="45"/>
  <c r="AI53" i="45" s="1"/>
  <c r="AI16" i="45"/>
  <c r="AG31" i="45"/>
  <c r="AG27" i="45"/>
  <c r="AG23" i="45"/>
  <c r="AG19" i="45"/>
  <c r="AG15" i="45"/>
  <c r="AG11" i="45"/>
  <c r="AF56" i="45"/>
  <c r="AF67" i="45"/>
  <c r="AH29" i="45"/>
  <c r="BC29" i="45" s="1"/>
  <c r="AH25" i="45"/>
  <c r="BC25" i="45" s="1"/>
  <c r="AH21" i="45"/>
  <c r="BC21" i="45" s="1"/>
  <c r="AH17" i="45"/>
  <c r="BC17" i="45" s="1"/>
  <c r="AH13" i="45"/>
  <c r="BC13" i="45" s="1"/>
  <c r="AH49" i="45"/>
  <c r="BE49" i="45" s="1"/>
  <c r="AF69" i="45"/>
  <c r="AF61" i="45"/>
  <c r="AH57" i="45"/>
  <c r="BE57" i="45" s="1"/>
  <c r="AQ33" i="45"/>
  <c r="BD13" i="39"/>
  <c r="BD12" i="39"/>
  <c r="BD8" i="39"/>
  <c r="AO49" i="40"/>
  <c r="BE49" i="40" s="1"/>
  <c r="AR70" i="40"/>
  <c r="AT70" i="40"/>
  <c r="BQ30" i="40"/>
  <c r="AK45" i="20"/>
  <c r="AQ70" i="40"/>
  <c r="S45" i="20"/>
  <c r="BD11" i="39"/>
  <c r="AD7" i="39"/>
  <c r="AD55" i="39" s="1"/>
  <c r="AF55" i="39" s="1"/>
  <c r="AE9" i="39"/>
  <c r="AX63" i="39"/>
  <c r="AF10" i="39"/>
  <c r="AS70" i="40"/>
  <c r="AO65" i="40"/>
  <c r="BE65" i="40" s="1"/>
  <c r="AO45" i="40"/>
  <c r="BE45" i="40" s="1"/>
  <c r="AO57" i="40"/>
  <c r="BE57" i="40" s="1"/>
  <c r="AO61" i="40"/>
  <c r="BE61" i="40" s="1"/>
  <c r="BH35" i="40"/>
  <c r="AO69" i="40"/>
  <c r="BE69" i="40" s="1"/>
  <c r="AO53" i="40"/>
  <c r="BE53" i="40" s="1"/>
  <c r="AX34" i="40"/>
  <c r="AO7" i="40"/>
  <c r="BQ7" i="40" s="1"/>
  <c r="AN7" i="40"/>
  <c r="AN11" i="40"/>
  <c r="AO11" i="40"/>
  <c r="BQ11" i="40" s="1"/>
  <c r="AN15" i="40"/>
  <c r="AO15" i="40"/>
  <c r="BQ15" i="40" s="1"/>
  <c r="AN19" i="40"/>
  <c r="AO19" i="40"/>
  <c r="BQ19" i="40" s="1"/>
  <c r="AN23" i="40"/>
  <c r="AO23" i="40"/>
  <c r="BQ23" i="40" s="1"/>
  <c r="AN31" i="40"/>
  <c r="AO31" i="40"/>
  <c r="BQ31" i="40" s="1"/>
  <c r="AN25" i="40"/>
  <c r="AO25" i="40"/>
  <c r="BQ25" i="40" s="1"/>
  <c r="AN9" i="40"/>
  <c r="AO9" i="40"/>
  <c r="BQ9" i="40" s="1"/>
  <c r="AO10" i="40"/>
  <c r="BQ10" i="40" s="1"/>
  <c r="AN10" i="40"/>
  <c r="AO14" i="40"/>
  <c r="BQ14" i="40" s="1"/>
  <c r="AN14" i="40"/>
  <c r="AO18" i="40"/>
  <c r="BQ18" i="40" s="1"/>
  <c r="AN18" i="40"/>
  <c r="AO22" i="40"/>
  <c r="BQ22" i="40" s="1"/>
  <c r="AN22" i="40"/>
  <c r="AO26" i="40"/>
  <c r="BQ26" i="40" s="1"/>
  <c r="AN26" i="40"/>
  <c r="AO29" i="40"/>
  <c r="BQ29" i="40" s="1"/>
  <c r="AN29" i="40"/>
  <c r="AO13" i="40"/>
  <c r="BQ13" i="40" s="1"/>
  <c r="AN13" i="40"/>
  <c r="AN33" i="40"/>
  <c r="AO33" i="40"/>
  <c r="BQ33" i="40" s="1"/>
  <c r="AN17" i="40"/>
  <c r="AO17" i="40"/>
  <c r="BQ17" i="40" s="1"/>
  <c r="AN27" i="40"/>
  <c r="AO27" i="40"/>
  <c r="BQ27" i="40" s="1"/>
  <c r="AK34" i="40"/>
  <c r="AM8" i="40"/>
  <c r="AN12" i="40"/>
  <c r="AO12" i="40"/>
  <c r="BQ12" i="40" s="1"/>
  <c r="AN16" i="40"/>
  <c r="AO16" i="40"/>
  <c r="BQ16" i="40" s="1"/>
  <c r="AN20" i="40"/>
  <c r="AO20" i="40"/>
  <c r="BQ20" i="40" s="1"/>
  <c r="AN24" i="40"/>
  <c r="AO24" i="40"/>
  <c r="BQ24" i="40" s="1"/>
  <c r="AN28" i="40"/>
  <c r="AN64" i="40" s="1"/>
  <c r="AP64" i="40" s="1"/>
  <c r="AO28" i="40"/>
  <c r="AN32" i="40"/>
  <c r="AO32" i="40"/>
  <c r="BQ32" i="40" s="1"/>
  <c r="AO21" i="40"/>
  <c r="BQ21" i="40" s="1"/>
  <c r="AN21" i="40"/>
  <c r="AO64" i="40"/>
  <c r="BE64" i="40" s="1"/>
  <c r="AO56" i="40"/>
  <c r="BE56" i="40" s="1"/>
  <c r="AO48" i="40"/>
  <c r="BE48" i="40" s="1"/>
  <c r="AO43" i="40"/>
  <c r="BE43" i="40" s="1"/>
  <c r="AO66" i="40"/>
  <c r="BE66" i="40" s="1"/>
  <c r="AO62" i="40"/>
  <c r="BE62" i="40" s="1"/>
  <c r="AO58" i="40"/>
  <c r="BE58" i="40" s="1"/>
  <c r="AO54" i="40"/>
  <c r="BE54" i="40" s="1"/>
  <c r="AO50" i="40"/>
  <c r="BE50" i="40" s="1"/>
  <c r="AO46" i="40"/>
  <c r="BE46" i="40" s="1"/>
  <c r="AO68" i="40"/>
  <c r="BE68" i="40" s="1"/>
  <c r="AO60" i="40"/>
  <c r="BE60" i="40" s="1"/>
  <c r="AO52" i="40"/>
  <c r="BE52" i="40" s="1"/>
  <c r="AO44" i="40"/>
  <c r="BE44" i="40" s="1"/>
  <c r="AO67" i="40"/>
  <c r="BE67" i="40" s="1"/>
  <c r="AO63" i="40"/>
  <c r="BE63" i="40" s="1"/>
  <c r="AO59" i="40"/>
  <c r="BE59" i="40" s="1"/>
  <c r="AO55" i="40"/>
  <c r="BE55" i="40" s="1"/>
  <c r="AO51" i="40"/>
  <c r="BE51" i="40" s="1"/>
  <c r="AO47" i="40"/>
  <c r="BE47" i="40" s="1"/>
  <c r="AE10" i="39"/>
  <c r="BD10" i="39" s="1"/>
  <c r="BD14" i="39"/>
  <c r="BD9" i="39"/>
  <c r="AD13" i="39"/>
  <c r="AD61" i="39" s="1"/>
  <c r="AF61" i="39" s="1"/>
  <c r="AD63" i="39"/>
  <c r="AF63" i="39" s="1"/>
  <c r="AF15" i="39"/>
  <c r="AE15" i="39"/>
  <c r="BD15" i="39" s="1"/>
  <c r="AF14" i="39"/>
  <c r="AD11" i="39"/>
  <c r="AB11" i="39" s="1"/>
  <c r="AF34" i="39" s="1"/>
  <c r="AD12" i="39"/>
  <c r="AD8" i="39"/>
  <c r="AB9" i="39"/>
  <c r="AF32" i="39" s="1"/>
  <c r="AD57" i="39"/>
  <c r="AF57" i="39" s="1"/>
  <c r="AF7" i="39"/>
  <c r="AB7" i="39"/>
  <c r="AF30" i="39" s="1"/>
  <c r="AA64" i="39"/>
  <c r="AM70" i="40"/>
  <c r="AK70" i="40"/>
  <c r="AG70" i="40"/>
  <c r="AE70" i="40"/>
  <c r="AJ41" i="39"/>
  <c r="AI64" i="39"/>
  <c r="AH64" i="39"/>
  <c r="AN49" i="39"/>
  <c r="AE55" i="39"/>
  <c r="AX55" i="39" s="1"/>
  <c r="AE56" i="39"/>
  <c r="AX56" i="39" s="1"/>
  <c r="AE57" i="39"/>
  <c r="AX57" i="39" s="1"/>
  <c r="AE58" i="39"/>
  <c r="AX58" i="39" s="1"/>
  <c r="AE59" i="39"/>
  <c r="AX59" i="39" s="1"/>
  <c r="AE60" i="39"/>
  <c r="AX60" i="39" s="1"/>
  <c r="AE61" i="39"/>
  <c r="AX61" i="39" s="1"/>
  <c r="AE62" i="39"/>
  <c r="AX62" i="39" s="1"/>
  <c r="AC55" i="39"/>
  <c r="AC64" i="39" s="1"/>
  <c r="BE14" i="48"/>
  <c r="BE15" i="48"/>
  <c r="AF17" i="48"/>
  <c r="AN16" i="39"/>
  <c r="AB14" i="39"/>
  <c r="AF37" i="39" s="1"/>
  <c r="AB10" i="39"/>
  <c r="AF33" i="39" s="1"/>
  <c r="AC32" i="39"/>
  <c r="AC16" i="39"/>
  <c r="AE34" i="39"/>
  <c r="AC36" i="39"/>
  <c r="AC37" i="39"/>
  <c r="AC33" i="39"/>
  <c r="AC30" i="39"/>
  <c r="AA39" i="39"/>
  <c r="AC35" i="39"/>
  <c r="AC31" i="39"/>
  <c r="AB15" i="39"/>
  <c r="AF38" i="39" s="1"/>
  <c r="AE31" i="39"/>
  <c r="AF34" i="48"/>
  <c r="AJ26" i="48"/>
  <c r="AS26" i="48" s="1"/>
  <c r="AS34" i="48" s="1"/>
  <c r="AH26" i="48"/>
  <c r="AI9" i="48"/>
  <c r="AK9" i="48" s="1"/>
  <c r="AI13" i="48"/>
  <c r="AI14" i="48"/>
  <c r="AI10" i="48"/>
  <c r="AI15" i="48"/>
  <c r="AI11" i="48"/>
  <c r="AH34" i="48"/>
  <c r="AI16" i="48"/>
  <c r="AI12" i="48"/>
  <c r="AJ34" i="48"/>
  <c r="AH17" i="48"/>
  <c r="AJ33" i="45"/>
  <c r="AH65" i="45"/>
  <c r="BE65" i="45" s="1"/>
  <c r="AJ40" i="14"/>
  <c r="AK9" i="47"/>
  <c r="BA9" i="47" s="1"/>
  <c r="AK37" i="47"/>
  <c r="BA37" i="47" s="1"/>
  <c r="AK33" i="47"/>
  <c r="AK29" i="47"/>
  <c r="BA29" i="47" s="1"/>
  <c r="AK25" i="47"/>
  <c r="BA25" i="47" s="1"/>
  <c r="AK21" i="47"/>
  <c r="BA21" i="47" s="1"/>
  <c r="AK17" i="47"/>
  <c r="BA17" i="47" s="1"/>
  <c r="AK13" i="47"/>
  <c r="BA13" i="47" s="1"/>
  <c r="AH36" i="47"/>
  <c r="AK34" i="47"/>
  <c r="BA34" i="47" s="1"/>
  <c r="AK26" i="47"/>
  <c r="BA26" i="47" s="1"/>
  <c r="AK18" i="47"/>
  <c r="BA18" i="47" s="1"/>
  <c r="AK10" i="47"/>
  <c r="AH20" i="47"/>
  <c r="AK39" i="47"/>
  <c r="BA39" i="47" s="1"/>
  <c r="AK35" i="47"/>
  <c r="BA35" i="47" s="1"/>
  <c r="AK31" i="47"/>
  <c r="BA31" i="47" s="1"/>
  <c r="AK27" i="47"/>
  <c r="BA27" i="47" s="1"/>
  <c r="AK23" i="47"/>
  <c r="BA23" i="47" s="1"/>
  <c r="AK19" i="47"/>
  <c r="BA19" i="47" s="1"/>
  <c r="AK15" i="47"/>
  <c r="AK11" i="47"/>
  <c r="AH12" i="47"/>
  <c r="AK38" i="47"/>
  <c r="BA38" i="47" s="1"/>
  <c r="AK30" i="47"/>
  <c r="BA30" i="47" s="1"/>
  <c r="AK22" i="47"/>
  <c r="BA22" i="47" s="1"/>
  <c r="AK14" i="47"/>
  <c r="BA14" i="47" s="1"/>
  <c r="AH28" i="47"/>
  <c r="AI33" i="47"/>
  <c r="AH25" i="47"/>
  <c r="AH66" i="47" s="1"/>
  <c r="AJ66" i="47" s="1"/>
  <c r="AH17" i="47"/>
  <c r="AH58" i="47" s="1"/>
  <c r="AJ58" i="47" s="1"/>
  <c r="AI32" i="47"/>
  <c r="AI24" i="47"/>
  <c r="BA24" i="47" s="1"/>
  <c r="AS41" i="47"/>
  <c r="AH37" i="47"/>
  <c r="AH29" i="47"/>
  <c r="AH70" i="47" s="1"/>
  <c r="AJ70" i="47" s="1"/>
  <c r="AH21" i="47"/>
  <c r="AH62" i="47" s="1"/>
  <c r="AJ62" i="47" s="1"/>
  <c r="AH13" i="47"/>
  <c r="AH54" i="47" s="1"/>
  <c r="AJ54" i="47" s="1"/>
  <c r="AG41" i="47"/>
  <c r="AH9" i="47"/>
  <c r="AH50" i="47" s="1"/>
  <c r="AJ50" i="47" s="1"/>
  <c r="AH16" i="47"/>
  <c r="AE82" i="47"/>
  <c r="AI50" i="47"/>
  <c r="BG50" i="47" s="1"/>
  <c r="BG82" i="47" s="1"/>
  <c r="AF66" i="45"/>
  <c r="AF50" i="45"/>
  <c r="AF62" i="45"/>
  <c r="AH58" i="45"/>
  <c r="BE58" i="45" s="1"/>
  <c r="AF64" i="45"/>
  <c r="AF53" i="45"/>
  <c r="AF48" i="45"/>
  <c r="AF54" i="45"/>
  <c r="AH46" i="45"/>
  <c r="BE46" i="45" s="1"/>
  <c r="AH63" i="45"/>
  <c r="BE63" i="45" s="1"/>
  <c r="AH59" i="45"/>
  <c r="BE59" i="45" s="1"/>
  <c r="AH55" i="45"/>
  <c r="BE55" i="45" s="1"/>
  <c r="AH51" i="45"/>
  <c r="BE51" i="45" s="1"/>
  <c r="AH47" i="45"/>
  <c r="BE47" i="45" s="1"/>
  <c r="AF33" i="45"/>
  <c r="AG9" i="45"/>
  <c r="AD70" i="45"/>
  <c r="BN82" i="47"/>
  <c r="AK82" i="47"/>
  <c r="AJ15" i="47"/>
  <c r="AJ11" i="47"/>
  <c r="AJ10" i="47"/>
  <c r="AJ9" i="47"/>
  <c r="AI10" i="47"/>
  <c r="AH38" i="47"/>
  <c r="AH34" i="47"/>
  <c r="AH30" i="47"/>
  <c r="AH71" i="47" s="1"/>
  <c r="AJ71" i="47" s="1"/>
  <c r="AH26" i="47"/>
  <c r="AH67" i="47" s="1"/>
  <c r="AJ67" i="47" s="1"/>
  <c r="AH22" i="47"/>
  <c r="AH63" i="47" s="1"/>
  <c r="AJ63" i="47" s="1"/>
  <c r="AH18" i="47"/>
  <c r="AH59" i="47" s="1"/>
  <c r="AJ59" i="47" s="1"/>
  <c r="AH14" i="47"/>
  <c r="AH55" i="47" s="1"/>
  <c r="AJ55" i="47" s="1"/>
  <c r="AI15" i="47"/>
  <c r="AI11" i="47"/>
  <c r="AR41" i="47"/>
  <c r="AG50" i="47"/>
  <c r="AH39" i="47"/>
  <c r="AH35" i="47"/>
  <c r="AH31" i="47"/>
  <c r="AH72" i="47" s="1"/>
  <c r="AJ72" i="47" s="1"/>
  <c r="AH27" i="47"/>
  <c r="AH68" i="47" s="1"/>
  <c r="AJ68" i="47" s="1"/>
  <c r="AH23" i="47"/>
  <c r="AH64" i="47" s="1"/>
  <c r="AJ64" i="47" s="1"/>
  <c r="AH19" i="47"/>
  <c r="AH60" i="47" s="1"/>
  <c r="AJ60" i="47" s="1"/>
  <c r="AP41" i="47"/>
  <c r="AJ13" i="47"/>
  <c r="AH40" i="47"/>
  <c r="AZ41" i="47"/>
  <c r="AX41" i="47"/>
  <c r="AW41" i="47"/>
  <c r="AQ40" i="14"/>
  <c r="AR40" i="14"/>
  <c r="AO40" i="14"/>
  <c r="AN40" i="14"/>
  <c r="AH40" i="14"/>
  <c r="AA25" i="14"/>
  <c r="AS25" i="14" s="1"/>
  <c r="AA10" i="14"/>
  <c r="AS10" i="14" s="1"/>
  <c r="Y11" i="14"/>
  <c r="AA11" i="14" s="1"/>
  <c r="AS11" i="14" s="1"/>
  <c r="Y12" i="14"/>
  <c r="Z12" i="14" s="1"/>
  <c r="Z52" i="14" s="1"/>
  <c r="AB52" i="14" s="1"/>
  <c r="Y13" i="14"/>
  <c r="Z13" i="14" s="1"/>
  <c r="Z53" i="14" s="1"/>
  <c r="AB53" i="14" s="1"/>
  <c r="Y14" i="14"/>
  <c r="Z14" i="14" s="1"/>
  <c r="Y15" i="14"/>
  <c r="AA15" i="14" s="1"/>
  <c r="AS15" i="14" s="1"/>
  <c r="Y16" i="14"/>
  <c r="Z16" i="14" s="1"/>
  <c r="Z56" i="14" s="1"/>
  <c r="AB56" i="14" s="1"/>
  <c r="Y17" i="14"/>
  <c r="Z17" i="14" s="1"/>
  <c r="Z57" i="14" s="1"/>
  <c r="AB57" i="14" s="1"/>
  <c r="Y18" i="14"/>
  <c r="Z18" i="14" s="1"/>
  <c r="Y19" i="14"/>
  <c r="AA19" i="14" s="1"/>
  <c r="AS19" i="14" s="1"/>
  <c r="Y20" i="14"/>
  <c r="Z20" i="14" s="1"/>
  <c r="Z60" i="14" s="1"/>
  <c r="AB60" i="14" s="1"/>
  <c r="Y21" i="14"/>
  <c r="Z21" i="14" s="1"/>
  <c r="Z61" i="14" s="1"/>
  <c r="AB61" i="14" s="1"/>
  <c r="Y22" i="14"/>
  <c r="Z22" i="14" s="1"/>
  <c r="Y23" i="14"/>
  <c r="Z23" i="14" s="1"/>
  <c r="Z63" i="14" s="1"/>
  <c r="AB63" i="14" s="1"/>
  <c r="Y24" i="14"/>
  <c r="Z24" i="14" s="1"/>
  <c r="Z64" i="14" s="1"/>
  <c r="AB64" i="14" s="1"/>
  <c r="Y25" i="14"/>
  <c r="Z25" i="14" s="1"/>
  <c r="Y26" i="14"/>
  <c r="Z26" i="14" s="1"/>
  <c r="Y27" i="14"/>
  <c r="AA27" i="14" s="1"/>
  <c r="AS27" i="14" s="1"/>
  <c r="Y28" i="14"/>
  <c r="Z28" i="14" s="1"/>
  <c r="Y29" i="14"/>
  <c r="Z29" i="14" s="1"/>
  <c r="Y30" i="14"/>
  <c r="Z30" i="14" s="1"/>
  <c r="Y31" i="14"/>
  <c r="AA31" i="14" s="1"/>
  <c r="AS31" i="14" s="1"/>
  <c r="Y32" i="14"/>
  <c r="Z32" i="14" s="1"/>
  <c r="Y33" i="14"/>
  <c r="Z33" i="14" s="1"/>
  <c r="Y34" i="14"/>
  <c r="Z34" i="14" s="1"/>
  <c r="Y35" i="14"/>
  <c r="AA35" i="14" s="1"/>
  <c r="AS35" i="14" s="1"/>
  <c r="Y36" i="14"/>
  <c r="Z36" i="14" s="1"/>
  <c r="Y37" i="14"/>
  <c r="Z37" i="14" s="1"/>
  <c r="Y38" i="14"/>
  <c r="Z38" i="14" s="1"/>
  <c r="Y39" i="14"/>
  <c r="Z39" i="14" s="1"/>
  <c r="Y10" i="14"/>
  <c r="Z10" i="14" s="1"/>
  <c r="Z50" i="14" s="1"/>
  <c r="AB50" i="14" s="1"/>
  <c r="W40" i="14"/>
  <c r="X40" i="14"/>
  <c r="W50" i="14"/>
  <c r="V80" i="14"/>
  <c r="U80" i="14"/>
  <c r="S40" i="14"/>
  <c r="T40" i="14"/>
  <c r="O40" i="14"/>
  <c r="P40" i="14"/>
  <c r="M40" i="14"/>
  <c r="N40" i="14"/>
  <c r="Q40" i="14"/>
  <c r="R40" i="14"/>
  <c r="K40" i="14"/>
  <c r="L40" i="14"/>
  <c r="H29" i="42"/>
  <c r="BT10" i="48"/>
  <c r="BT11" i="48"/>
  <c r="BT12" i="48"/>
  <c r="BT13" i="48"/>
  <c r="BT14" i="48"/>
  <c r="BT15" i="48"/>
  <c r="BT16" i="48"/>
  <c r="BT9" i="48"/>
  <c r="H18" i="48"/>
  <c r="E36" i="45"/>
  <c r="E35" i="45"/>
  <c r="U34" i="40"/>
  <c r="V34" i="40"/>
  <c r="I41" i="47"/>
  <c r="J41" i="47"/>
  <c r="K41" i="47"/>
  <c r="L41" i="47"/>
  <c r="M41" i="47"/>
  <c r="N41" i="47"/>
  <c r="W41" i="47"/>
  <c r="X41" i="47"/>
  <c r="Y41" i="47"/>
  <c r="Z41" i="47"/>
  <c r="AA41" i="47"/>
  <c r="AB41" i="47"/>
  <c r="AC41" i="47"/>
  <c r="AD41" i="47"/>
  <c r="AE41" i="47"/>
  <c r="G39" i="39"/>
  <c r="K16" i="39"/>
  <c r="L16" i="39"/>
  <c r="M16" i="39"/>
  <c r="N16" i="39"/>
  <c r="H16" i="39"/>
  <c r="I17" i="48"/>
  <c r="H17" i="48"/>
  <c r="G17" i="48"/>
  <c r="F17" i="48"/>
  <c r="H41" i="47"/>
  <c r="G41" i="47"/>
  <c r="F41" i="47"/>
  <c r="R27" i="42"/>
  <c r="Q27" i="42"/>
  <c r="S34" i="40"/>
  <c r="T34" i="40"/>
  <c r="J33" i="45"/>
  <c r="K33" i="45"/>
  <c r="L33" i="45"/>
  <c r="M33" i="45"/>
  <c r="N33" i="45"/>
  <c r="O33" i="45"/>
  <c r="P33" i="45"/>
  <c r="Q33" i="45"/>
  <c r="U33" i="45"/>
  <c r="T33" i="45"/>
  <c r="S33" i="45"/>
  <c r="R33" i="45"/>
  <c r="I33" i="45"/>
  <c r="H33" i="45"/>
  <c r="E34" i="45" s="1"/>
  <c r="G33" i="45"/>
  <c r="AB39" i="14" l="1"/>
  <c r="Z79" i="14"/>
  <c r="AB79" i="14" s="1"/>
  <c r="AA29" i="14"/>
  <c r="AS29" i="14" s="1"/>
  <c r="AA13" i="14"/>
  <c r="AS13" i="14" s="1"/>
  <c r="AG49" i="45"/>
  <c r="AI49" i="45" s="1"/>
  <c r="AG51" i="45"/>
  <c r="AI51" i="45" s="1"/>
  <c r="U14" i="20"/>
  <c r="W14" i="20" s="1"/>
  <c r="AT14" i="20" s="1"/>
  <c r="S21" i="20"/>
  <c r="AJ11" i="48"/>
  <c r="BE11" i="48" s="1"/>
  <c r="AB38" i="14"/>
  <c r="Z78" i="14"/>
  <c r="AB78" i="14" s="1"/>
  <c r="AB34" i="14"/>
  <c r="Z74" i="14"/>
  <c r="AB74" i="14" s="1"/>
  <c r="AB30" i="14"/>
  <c r="Z70" i="14"/>
  <c r="AB70" i="14" s="1"/>
  <c r="AB26" i="14"/>
  <c r="Z66" i="14"/>
  <c r="AB66" i="14" s="1"/>
  <c r="AB22" i="14"/>
  <c r="Z62" i="14"/>
  <c r="AB62" i="14" s="1"/>
  <c r="AB18" i="14"/>
  <c r="Z58" i="14"/>
  <c r="AB58" i="14" s="1"/>
  <c r="AB14" i="14"/>
  <c r="Z54" i="14"/>
  <c r="AB54" i="14" s="1"/>
  <c r="T21" i="20"/>
  <c r="AB37" i="14"/>
  <c r="Z77" i="14"/>
  <c r="AB77" i="14" s="1"/>
  <c r="AB33" i="14"/>
  <c r="Z73" i="14"/>
  <c r="AB73" i="14" s="1"/>
  <c r="AB29" i="14"/>
  <c r="Z69" i="14"/>
  <c r="AB69" i="14" s="1"/>
  <c r="AB25" i="14"/>
  <c r="Z65" i="14"/>
  <c r="AB65" i="14" s="1"/>
  <c r="AA37" i="14"/>
  <c r="AS37" i="14" s="1"/>
  <c r="AA21" i="14"/>
  <c r="AS21" i="14" s="1"/>
  <c r="AF70" i="45"/>
  <c r="AB36" i="14"/>
  <c r="Z76" i="14"/>
  <c r="AB76" i="14" s="1"/>
  <c r="AB32" i="14"/>
  <c r="Z72" i="14"/>
  <c r="AB72" i="14" s="1"/>
  <c r="AB28" i="14"/>
  <c r="Z68" i="14"/>
  <c r="AB68" i="14" s="1"/>
  <c r="AA33" i="14"/>
  <c r="AS33" i="14" s="1"/>
  <c r="AA17" i="14"/>
  <c r="AS17" i="14" s="1"/>
  <c r="BA33" i="47"/>
  <c r="U45" i="20"/>
  <c r="BC33" i="45"/>
  <c r="W45" i="20"/>
  <c r="BE10" i="48"/>
  <c r="BE17" i="48" s="1"/>
  <c r="AJ10" i="48"/>
  <c r="AJ13" i="48"/>
  <c r="BE13" i="48" s="1"/>
  <c r="AJ34" i="47"/>
  <c r="AH75" i="47"/>
  <c r="AJ75" i="47" s="1"/>
  <c r="AJ16" i="47"/>
  <c r="AH57" i="47"/>
  <c r="AJ57" i="47" s="1"/>
  <c r="AJ36" i="47"/>
  <c r="AH77" i="47"/>
  <c r="AJ77" i="47" s="1"/>
  <c r="AJ40" i="47"/>
  <c r="AH81" i="47"/>
  <c r="AJ81" i="47" s="1"/>
  <c r="AJ39" i="47"/>
  <c r="AH80" i="47"/>
  <c r="AJ80" i="47" s="1"/>
  <c r="AJ37" i="47"/>
  <c r="AH78" i="47"/>
  <c r="AJ78" i="47" s="1"/>
  <c r="AJ12" i="47"/>
  <c r="AH53" i="47"/>
  <c r="AJ53" i="47" s="1"/>
  <c r="BA15" i="47"/>
  <c r="BA10" i="47"/>
  <c r="AJ20" i="47"/>
  <c r="AH61" i="47"/>
  <c r="AJ61" i="47" s="1"/>
  <c r="AJ35" i="47"/>
  <c r="AH76" i="47"/>
  <c r="AJ76" i="47" s="1"/>
  <c r="AJ38" i="47"/>
  <c r="AH79" i="47"/>
  <c r="AJ79" i="47" s="1"/>
  <c r="AJ28" i="47"/>
  <c r="AH69" i="47"/>
  <c r="AJ69" i="47" s="1"/>
  <c r="BA11" i="47"/>
  <c r="BA32" i="47"/>
  <c r="AT21" i="20"/>
  <c r="V11" i="20"/>
  <c r="X11" i="20" s="1"/>
  <c r="V35" i="20"/>
  <c r="X35" i="20" s="1"/>
  <c r="V17" i="20"/>
  <c r="X17" i="20" s="1"/>
  <c r="V41" i="20"/>
  <c r="X41" i="20" s="1"/>
  <c r="V16" i="20"/>
  <c r="X16" i="20" s="1"/>
  <c r="V40" i="20"/>
  <c r="X40" i="20" s="1"/>
  <c r="V10" i="20"/>
  <c r="X10" i="20" s="1"/>
  <c r="V34" i="20"/>
  <c r="X34" i="20" s="1"/>
  <c r="V13" i="20"/>
  <c r="X13" i="20" s="1"/>
  <c r="V37" i="20"/>
  <c r="X37" i="20" s="1"/>
  <c r="V12" i="20"/>
  <c r="X12" i="20" s="1"/>
  <c r="V36" i="20"/>
  <c r="X36" i="20" s="1"/>
  <c r="V19" i="20"/>
  <c r="X19" i="20" s="1"/>
  <c r="V43" i="20"/>
  <c r="X43" i="20" s="1"/>
  <c r="V18" i="20"/>
  <c r="X18" i="20" s="1"/>
  <c r="V42" i="20"/>
  <c r="X42" i="20" s="1"/>
  <c r="V8" i="20"/>
  <c r="X8" i="20" s="1"/>
  <c r="V32" i="20"/>
  <c r="V14" i="20"/>
  <c r="X14" i="20" s="1"/>
  <c r="V38" i="20"/>
  <c r="X38" i="20" s="1"/>
  <c r="V9" i="20"/>
  <c r="X9" i="20" s="1"/>
  <c r="V33" i="20"/>
  <c r="X33" i="20" s="1"/>
  <c r="V15" i="20"/>
  <c r="X15" i="20" s="1"/>
  <c r="V39" i="20"/>
  <c r="X39" i="20" s="1"/>
  <c r="V20" i="20"/>
  <c r="X20" i="20" s="1"/>
  <c r="V44" i="20"/>
  <c r="X44" i="20" s="1"/>
  <c r="V7" i="20"/>
  <c r="V31" i="20"/>
  <c r="X31" i="20" s="1"/>
  <c r="U21" i="20"/>
  <c r="AI11" i="45"/>
  <c r="AG48" i="45"/>
  <c r="AI48" i="45" s="1"/>
  <c r="AI27" i="45"/>
  <c r="AG64" i="45"/>
  <c r="AI64" i="45" s="1"/>
  <c r="AG46" i="45"/>
  <c r="AG33" i="45"/>
  <c r="AI9" i="45"/>
  <c r="AI23" i="45"/>
  <c r="AG60" i="45"/>
  <c r="AI60" i="45" s="1"/>
  <c r="AI19" i="45"/>
  <c r="AG56" i="45"/>
  <c r="AI56" i="45" s="1"/>
  <c r="AI52" i="45"/>
  <c r="AI15" i="45"/>
  <c r="AG52" i="45"/>
  <c r="AI31" i="45"/>
  <c r="AG68" i="45"/>
  <c r="AI68" i="45" s="1"/>
  <c r="BE70" i="45"/>
  <c r="BQ28" i="40"/>
  <c r="BE70" i="40"/>
  <c r="AJ45" i="20"/>
  <c r="BD16" i="39"/>
  <c r="AO70" i="40"/>
  <c r="AN68" i="40"/>
  <c r="AP68" i="40" s="1"/>
  <c r="AP32" i="40"/>
  <c r="AP24" i="40"/>
  <c r="AN60" i="40"/>
  <c r="AP60" i="40" s="1"/>
  <c r="AP16" i="40"/>
  <c r="AN52" i="40"/>
  <c r="AP52" i="40" s="1"/>
  <c r="AP25" i="40"/>
  <c r="AN61" i="40"/>
  <c r="AP61" i="40" s="1"/>
  <c r="AP23" i="40"/>
  <c r="AN59" i="40"/>
  <c r="AP59" i="40" s="1"/>
  <c r="AP15" i="40"/>
  <c r="AN51" i="40"/>
  <c r="AP51" i="40" s="1"/>
  <c r="AM34" i="40"/>
  <c r="AN8" i="40"/>
  <c r="AO8" i="40"/>
  <c r="BQ8" i="40" s="1"/>
  <c r="BQ34" i="40" s="1"/>
  <c r="AN49" i="40"/>
  <c r="AP49" i="40" s="1"/>
  <c r="AP13" i="40"/>
  <c r="AP26" i="40"/>
  <c r="AN62" i="40"/>
  <c r="AP62" i="40" s="1"/>
  <c r="AP18" i="40"/>
  <c r="AN54" i="40"/>
  <c r="AP54" i="40" s="1"/>
  <c r="AP10" i="40"/>
  <c r="AN46" i="40"/>
  <c r="AP46" i="40" s="1"/>
  <c r="AN43" i="40"/>
  <c r="AP7" i="40"/>
  <c r="AP20" i="40"/>
  <c r="AN56" i="40"/>
  <c r="AP56" i="40" s="1"/>
  <c r="AP12" i="40"/>
  <c r="AN48" i="40"/>
  <c r="AP48" i="40" s="1"/>
  <c r="AP27" i="40"/>
  <c r="AN63" i="40"/>
  <c r="AP63" i="40" s="1"/>
  <c r="AP33" i="40"/>
  <c r="AN69" i="40"/>
  <c r="AP69" i="40" s="1"/>
  <c r="AP9" i="40"/>
  <c r="AN45" i="40"/>
  <c r="AP45" i="40" s="1"/>
  <c r="AN67" i="40"/>
  <c r="AP67" i="40" s="1"/>
  <c r="AP31" i="40"/>
  <c r="AP19" i="40"/>
  <c r="AN55" i="40"/>
  <c r="AP55" i="40" s="1"/>
  <c r="AP11" i="40"/>
  <c r="AN47" i="40"/>
  <c r="AP47" i="40" s="1"/>
  <c r="AP17" i="40"/>
  <c r="AN53" i="40"/>
  <c r="AP53" i="40" s="1"/>
  <c r="AN57" i="40"/>
  <c r="AP57" i="40" s="1"/>
  <c r="AP21" i="40"/>
  <c r="AP29" i="40"/>
  <c r="AN65" i="40"/>
  <c r="AP65" i="40" s="1"/>
  <c r="AP22" i="40"/>
  <c r="AN58" i="40"/>
  <c r="AP58" i="40" s="1"/>
  <c r="AP14" i="40"/>
  <c r="AN50" i="40"/>
  <c r="AP50" i="40" s="1"/>
  <c r="AF13" i="39"/>
  <c r="AB13" i="39"/>
  <c r="AF36" i="39" s="1"/>
  <c r="AE16" i="39"/>
  <c r="AF11" i="39"/>
  <c r="AD59" i="39"/>
  <c r="AF59" i="39" s="1"/>
  <c r="AF8" i="39"/>
  <c r="AD56" i="39"/>
  <c r="AB8" i="39"/>
  <c r="AF31" i="39" s="1"/>
  <c r="AD16" i="39"/>
  <c r="AB12" i="39"/>
  <c r="AF35" i="39" s="1"/>
  <c r="AF12" i="39"/>
  <c r="AD60" i="39"/>
  <c r="AF60" i="39" s="1"/>
  <c r="AX64" i="39"/>
  <c r="AC39" i="39"/>
  <c r="AE39" i="39"/>
  <c r="AE64" i="39"/>
  <c r="AI33" i="48"/>
  <c r="AK33" i="48" s="1"/>
  <c r="AK16" i="48"/>
  <c r="AI17" i="48"/>
  <c r="AI27" i="48"/>
  <c r="AK27" i="48" s="1"/>
  <c r="AK10" i="48"/>
  <c r="AI29" i="48"/>
  <c r="AK29" i="48" s="1"/>
  <c r="AK12" i="48"/>
  <c r="AI32" i="48"/>
  <c r="AK32" i="48" s="1"/>
  <c r="AK15" i="48"/>
  <c r="AI26" i="48"/>
  <c r="BT17" i="48"/>
  <c r="AI28" i="48"/>
  <c r="AK28" i="48" s="1"/>
  <c r="AK11" i="48"/>
  <c r="AK13" i="48"/>
  <c r="AI30" i="48"/>
  <c r="AK30" i="48" s="1"/>
  <c r="AI31" i="48"/>
  <c r="AK31" i="48" s="1"/>
  <c r="AK14" i="48"/>
  <c r="AI47" i="45"/>
  <c r="AB23" i="14"/>
  <c r="Z27" i="14"/>
  <c r="Z31" i="14"/>
  <c r="Z15" i="14"/>
  <c r="Z55" i="14" s="1"/>
  <c r="AB55" i="14" s="1"/>
  <c r="AA38" i="14"/>
  <c r="AS38" i="14" s="1"/>
  <c r="AA34" i="14"/>
  <c r="AS34" i="14" s="1"/>
  <c r="AA30" i="14"/>
  <c r="AS30" i="14" s="1"/>
  <c r="AA26" i="14"/>
  <c r="AS26" i="14" s="1"/>
  <c r="AA22" i="14"/>
  <c r="AS22" i="14" s="1"/>
  <c r="AA18" i="14"/>
  <c r="AS18" i="14" s="1"/>
  <c r="AA14" i="14"/>
  <c r="AS14" i="14" s="1"/>
  <c r="AB10" i="14"/>
  <c r="AB24" i="14"/>
  <c r="AB20" i="14"/>
  <c r="AB16" i="14"/>
  <c r="AB12" i="14"/>
  <c r="W80" i="14"/>
  <c r="AA50" i="14"/>
  <c r="Z11" i="14"/>
  <c r="Z51" i="14" s="1"/>
  <c r="AB51" i="14" s="1"/>
  <c r="Z35" i="14"/>
  <c r="Z19" i="14"/>
  <c r="Z59" i="14" s="1"/>
  <c r="AB59" i="14" s="1"/>
  <c r="AA39" i="14"/>
  <c r="AS39" i="14" s="1"/>
  <c r="AA23" i="14"/>
  <c r="AS23" i="14" s="1"/>
  <c r="AB21" i="14"/>
  <c r="AB17" i="14"/>
  <c r="AB13" i="14"/>
  <c r="AA36" i="14"/>
  <c r="AS36" i="14" s="1"/>
  <c r="AA32" i="14"/>
  <c r="AS32" i="14" s="1"/>
  <c r="AA28" i="14"/>
  <c r="AS28" i="14" s="1"/>
  <c r="AA24" i="14"/>
  <c r="AS24" i="14" s="1"/>
  <c r="AA20" i="14"/>
  <c r="AS20" i="14" s="1"/>
  <c r="AA16" i="14"/>
  <c r="AS16" i="14" s="1"/>
  <c r="AA12" i="14"/>
  <c r="AS12" i="14" s="1"/>
  <c r="AS40" i="14" s="1"/>
  <c r="AJ21" i="47"/>
  <c r="AK41" i="47"/>
  <c r="AJ17" i="47"/>
  <c r="AG82" i="47"/>
  <c r="AJ25" i="47"/>
  <c r="AH41" i="47"/>
  <c r="AH82" i="47" s="1"/>
  <c r="AJ82" i="47" s="1"/>
  <c r="AJ29" i="47"/>
  <c r="AI82" i="47"/>
  <c r="AE70" i="45"/>
  <c r="AH70" i="45"/>
  <c r="AH33" i="45"/>
  <c r="AJ31" i="47"/>
  <c r="AJ26" i="47"/>
  <c r="AJ27" i="47"/>
  <c r="AJ22" i="47"/>
  <c r="AJ23" i="47"/>
  <c r="AJ18" i="47"/>
  <c r="AJ19" i="47"/>
  <c r="AJ14" i="47"/>
  <c r="AJ30" i="47"/>
  <c r="Y50" i="14"/>
  <c r="Y80" i="14" s="1"/>
  <c r="T27" i="42"/>
  <c r="S27" i="42"/>
  <c r="M27" i="42"/>
  <c r="N27" i="42"/>
  <c r="P27" i="42"/>
  <c r="O27" i="42"/>
  <c r="H27" i="42"/>
  <c r="G27" i="42"/>
  <c r="F27" i="42"/>
  <c r="I34" i="40"/>
  <c r="J34" i="40"/>
  <c r="K34" i="40"/>
  <c r="L34" i="40"/>
  <c r="P34" i="40"/>
  <c r="O34" i="40"/>
  <c r="N34" i="40"/>
  <c r="M34" i="40"/>
  <c r="H34" i="40"/>
  <c r="G34" i="40"/>
  <c r="F34" i="40"/>
  <c r="R34" i="40"/>
  <c r="G16" i="39"/>
  <c r="H39" i="39"/>
  <c r="F39" i="39"/>
  <c r="E39" i="39"/>
  <c r="F16" i="39"/>
  <c r="E16" i="39"/>
  <c r="P16" i="28"/>
  <c r="Q16" i="28"/>
  <c r="R16" i="28"/>
  <c r="S16" i="28"/>
  <c r="T16" i="28"/>
  <c r="U16" i="28"/>
  <c r="W16" i="28"/>
  <c r="X16" i="28"/>
  <c r="Y16" i="28"/>
  <c r="Z16" i="28"/>
  <c r="AA16" i="28"/>
  <c r="AA25" i="28"/>
  <c r="AA24" i="28"/>
  <c r="E15" i="28"/>
  <c r="F15" i="28"/>
  <c r="F16" i="28" s="1"/>
  <c r="G15" i="28"/>
  <c r="J15" i="28"/>
  <c r="K15" i="28"/>
  <c r="M15" i="28"/>
  <c r="E12" i="28"/>
  <c r="F12" i="28"/>
  <c r="G12" i="28"/>
  <c r="H12" i="28"/>
  <c r="H16" i="28" s="1"/>
  <c r="I12" i="28"/>
  <c r="I16" i="28" s="1"/>
  <c r="J12" i="28"/>
  <c r="J16" i="28" s="1"/>
  <c r="K12" i="28"/>
  <c r="M11" i="28"/>
  <c r="M13" i="28"/>
  <c r="M14" i="28"/>
  <c r="M10" i="28"/>
  <c r="L11" i="28"/>
  <c r="V11" i="28" s="1"/>
  <c r="L13" i="28"/>
  <c r="L15" i="28" s="1"/>
  <c r="L14" i="28"/>
  <c r="L10" i="28"/>
  <c r="V10" i="28" s="1"/>
  <c r="I21" i="20"/>
  <c r="J21" i="20"/>
  <c r="I40" i="14"/>
  <c r="J40" i="14"/>
  <c r="E16" i="28" l="1"/>
  <c r="G16" i="28"/>
  <c r="AJ17" i="48"/>
  <c r="AB35" i="14"/>
  <c r="Z75" i="14"/>
  <c r="AB75" i="14" s="1"/>
  <c r="V12" i="28"/>
  <c r="K16" i="28"/>
  <c r="AB31" i="14"/>
  <c r="Z71" i="14"/>
  <c r="AB71" i="14" s="1"/>
  <c r="AB27" i="14"/>
  <c r="Z67" i="14"/>
  <c r="AB67" i="14" s="1"/>
  <c r="BA41" i="47"/>
  <c r="V45" i="20"/>
  <c r="X32" i="20"/>
  <c r="X45" i="20" s="1"/>
  <c r="X7" i="20"/>
  <c r="V21" i="20"/>
  <c r="AG70" i="45"/>
  <c r="AI46" i="45"/>
  <c r="AI70" i="45" s="1"/>
  <c r="AI45" i="20"/>
  <c r="W21" i="20"/>
  <c r="AP43" i="40"/>
  <c r="AP8" i="40"/>
  <c r="AN44" i="40"/>
  <c r="AP44" i="40" s="1"/>
  <c r="AN34" i="40"/>
  <c r="AF39" i="39"/>
  <c r="AB16" i="39"/>
  <c r="AF16" i="39"/>
  <c r="AF56" i="39"/>
  <c r="AF64" i="39" s="1"/>
  <c r="AD64" i="39"/>
  <c r="AK26" i="48"/>
  <c r="AK34" i="48" s="1"/>
  <c r="AI34" i="48"/>
  <c r="AK17" i="48"/>
  <c r="AB15" i="14"/>
  <c r="AB19" i="14"/>
  <c r="AA80" i="14"/>
  <c r="AB11" i="14"/>
  <c r="AJ41" i="47"/>
  <c r="AI33" i="45"/>
  <c r="AQ34" i="40"/>
  <c r="AO34" i="40"/>
  <c r="Q34" i="40"/>
  <c r="L12" i="28"/>
  <c r="L16" i="28" s="1"/>
  <c r="M12" i="28"/>
  <c r="M16" i="28" s="1"/>
  <c r="X21" i="20"/>
  <c r="V26" i="28"/>
  <c r="W26" i="28"/>
  <c r="X26" i="28"/>
  <c r="Y26" i="28"/>
  <c r="O26" i="28"/>
  <c r="P26" i="28"/>
  <c r="Q26" i="28"/>
  <c r="R26" i="28"/>
  <c r="S26" i="28"/>
  <c r="T26" i="28"/>
  <c r="U26" i="28"/>
  <c r="E26" i="28"/>
  <c r="F26" i="28"/>
  <c r="G26" i="28"/>
  <c r="AP34" i="40" l="1"/>
  <c r="AH45" i="20"/>
  <c r="AP70" i="40"/>
  <c r="AN70" i="40"/>
  <c r="AL17" i="48"/>
  <c r="AB40" i="14"/>
  <c r="AC40" i="14"/>
  <c r="AI41" i="47"/>
  <c r="AG16" i="39"/>
  <c r="L45" i="20"/>
  <c r="K45" i="20"/>
  <c r="H45" i="20"/>
  <c r="G45" i="20"/>
  <c r="F45" i="20"/>
  <c r="E45" i="20"/>
  <c r="L21" i="20"/>
  <c r="K21" i="20"/>
  <c r="H21" i="20"/>
  <c r="G21" i="20"/>
  <c r="F21" i="20"/>
  <c r="E21" i="20"/>
  <c r="AG45" i="20" l="1"/>
  <c r="N26" i="28"/>
  <c r="AF45" i="20" l="1"/>
  <c r="AA26" i="28"/>
  <c r="AE45" i="20" l="1"/>
  <c r="AD45" i="20" l="1"/>
  <c r="AD80" i="14"/>
  <c r="G80" i="14"/>
  <c r="F80" i="14"/>
  <c r="V40" i="14"/>
  <c r="U40" i="14"/>
  <c r="Y40" i="14" s="1"/>
  <c r="AA40" i="14" s="1"/>
  <c r="G40" i="14"/>
  <c r="F40" i="14"/>
  <c r="E40" i="14"/>
  <c r="AC45" i="20" l="1"/>
  <c r="Z40" i="14"/>
  <c r="Z80" i="14" s="1"/>
  <c r="AB80" i="14" s="1"/>
  <c r="AB45" i="20" l="1"/>
  <c r="A29" i="14"/>
  <c r="Z45" i="20" l="1"/>
  <c r="AA45" i="20"/>
  <c r="O16" i="28"/>
  <c r="N16" i="28"/>
  <c r="V15" i="28"/>
  <c r="V16" i="28" s="1"/>
  <c r="AG64" i="39"/>
  <c r="AL42" i="20"/>
  <c r="AL33" i="20"/>
  <c r="AL40" i="20"/>
  <c r="AL38" i="20"/>
  <c r="AL35" i="20"/>
  <c r="AL36" i="20"/>
  <c r="AL31" i="20"/>
  <c r="Y45" i="20"/>
  <c r="AL45" i="20" s="1"/>
  <c r="AL37" i="20"/>
  <c r="AL43" i="20"/>
  <c r="AL39" i="20"/>
  <c r="AL44" i="20"/>
  <c r="AL41" i="20"/>
  <c r="AL34" i="20"/>
  <c r="AL32" i="20"/>
  <c r="AA55" i="42"/>
  <c r="Z55" i="42"/>
  <c r="Y55" i="42" l="1"/>
  <c r="X55" i="42" l="1"/>
  <c r="W55" i="42" l="1"/>
  <c r="U36" i="42"/>
  <c r="U55" i="42" s="1"/>
  <c r="V55" i="42"/>
  <c r="AC50" i="14"/>
  <c r="AN50" i="14" s="1"/>
  <c r="AC80" i="14" l="1"/>
  <c r="AN80" i="14" s="1"/>
</calcChain>
</file>

<file path=xl/comments1.xml><?xml version="1.0" encoding="utf-8"?>
<comments xmlns="http://schemas.openxmlformats.org/spreadsheetml/2006/main">
  <authors>
    <author>Автор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  <comment ref="D37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1" authorId="0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<sst xmlns="http://schemas.openxmlformats.org/spreadsheetml/2006/main" count="1655" uniqueCount="582">
  <si>
    <t>№п/п</t>
  </si>
  <si>
    <t>Площадь Общая</t>
  </si>
  <si>
    <t>Дезинсекция</t>
  </si>
  <si>
    <t>Зарплата</t>
  </si>
  <si>
    <t xml:space="preserve">Начислено </t>
  </si>
  <si>
    <t xml:space="preserve">Оплачено </t>
  </si>
  <si>
    <t>Ленинградская д.7</t>
  </si>
  <si>
    <t>Ленинградская д.9</t>
  </si>
  <si>
    <t>Связи д.7</t>
  </si>
  <si>
    <t>Связи д.9</t>
  </si>
  <si>
    <t>Связи д.13</t>
  </si>
  <si>
    <t>Связи д.11</t>
  </si>
  <si>
    <t>Итого</t>
  </si>
  <si>
    <t>Ул.Шоссейная д.17</t>
  </si>
  <si>
    <t>Ул.Шоссейная д.18</t>
  </si>
  <si>
    <t>Ул.Шоссейная д.19</t>
  </si>
  <si>
    <t>Ул.Шоссейная д.20</t>
  </si>
  <si>
    <t>Ул.Шоссейная д.21</t>
  </si>
  <si>
    <t>Ул.Шоссейная д.27</t>
  </si>
  <si>
    <t>Ул.Шоссейная д.28</t>
  </si>
  <si>
    <t>Ул.Шоссейная д.29</t>
  </si>
  <si>
    <t>Ул.Шоссейная д.30</t>
  </si>
  <si>
    <t>Ул.Шоссейная д.31</t>
  </si>
  <si>
    <t>Ул.Шоссейная д.32</t>
  </si>
  <si>
    <t>Ул.Шоссейная д.33</t>
  </si>
  <si>
    <t>Ул.Шоссейная д.34</t>
  </si>
  <si>
    <t>Ул.Шоссейная д.35</t>
  </si>
  <si>
    <t>Ул.Шоссейная д.36</t>
  </si>
  <si>
    <t>Ул.Шоссейная д.37</t>
  </si>
  <si>
    <t>Ул.Шоссейная д.38</t>
  </si>
  <si>
    <t>Выборгское шоссе ,26</t>
  </si>
  <si>
    <t>Ягодное Дачная,9</t>
  </si>
  <si>
    <t>Железнодорожная,4</t>
  </si>
  <si>
    <t>Железнодорожная,12</t>
  </si>
  <si>
    <t>Железнодорожная,14</t>
  </si>
  <si>
    <t>Ольховка Ларионова,1</t>
  </si>
  <si>
    <t>Ягодное Лесная,13</t>
  </si>
  <si>
    <t>Ягодное Лесная,15</t>
  </si>
  <si>
    <t>Ягодное Лесная,26</t>
  </si>
  <si>
    <t>Ольховка,Централ.22</t>
  </si>
  <si>
    <t>Ольховка,Централ.24</t>
  </si>
  <si>
    <t>Итого:</t>
  </si>
  <si>
    <t xml:space="preserve">       </t>
  </si>
  <si>
    <t>Год постройки</t>
  </si>
  <si>
    <t>Этажность</t>
  </si>
  <si>
    <t>Кол-во квартир</t>
  </si>
  <si>
    <t>Кол-во проживающих</t>
  </si>
  <si>
    <t>Урожайная д-3</t>
  </si>
  <si>
    <t>Урожайная д-3а</t>
  </si>
  <si>
    <t>Урожайная д-5</t>
  </si>
  <si>
    <t>Урожайная -5а</t>
  </si>
  <si>
    <t>Урожайная д-7</t>
  </si>
  <si>
    <t>Урожайная д-9</t>
  </si>
  <si>
    <t>Урожайная д-11</t>
  </si>
  <si>
    <t>Урожайная д-13</t>
  </si>
  <si>
    <t>Урожайная д-15</t>
  </si>
  <si>
    <t>Урожайная д-17</t>
  </si>
  <si>
    <t>Урожайная д-23</t>
  </si>
  <si>
    <t>Урожайная д-24</t>
  </si>
  <si>
    <t>Урожайная д-27</t>
  </si>
  <si>
    <t>Фестивальная -2</t>
  </si>
  <si>
    <t>Фестивальная -3</t>
  </si>
  <si>
    <t>Фестивальная -3а</t>
  </si>
  <si>
    <t>Фестивальная -3б</t>
  </si>
  <si>
    <t>Фестивальная -4</t>
  </si>
  <si>
    <t>Фестивальная -10</t>
  </si>
  <si>
    <t>Фестивальная -10а</t>
  </si>
  <si>
    <t>Фестивальная -12</t>
  </si>
  <si>
    <t>Фестивальная -14</t>
  </si>
  <si>
    <t>Фестивальная -16</t>
  </si>
  <si>
    <t>Фестивальная -18</t>
  </si>
  <si>
    <t>Фестивальная -22</t>
  </si>
  <si>
    <t>Фестивальная -25</t>
  </si>
  <si>
    <t>Фестивальная -27</t>
  </si>
  <si>
    <t xml:space="preserve">Фестивальная -29 </t>
  </si>
  <si>
    <t>Фестивальная -29а</t>
  </si>
  <si>
    <t>Фестивальная -36</t>
  </si>
  <si>
    <t>ИТОГО</t>
  </si>
  <si>
    <t>Школьная д-12</t>
  </si>
  <si>
    <t>ИТОГО:</t>
  </si>
  <si>
    <t>Молодежная д-1</t>
  </si>
  <si>
    <t>Молодежная д-2</t>
  </si>
  <si>
    <t>Молодежная д-3</t>
  </si>
  <si>
    <t>Молодежная д-4</t>
  </si>
  <si>
    <t>Молодежная д-6</t>
  </si>
  <si>
    <t>Молодежная д-7</t>
  </si>
  <si>
    <t>Молодежная д-8</t>
  </si>
  <si>
    <t>Молодежная д-12</t>
  </si>
  <si>
    <t>Ручейковая д-7</t>
  </si>
  <si>
    <t>Ручейковая д-8</t>
  </si>
  <si>
    <t>Ручейковая д-9</t>
  </si>
  <si>
    <t>Ручейковая д-11</t>
  </si>
  <si>
    <t>Ручейковая д-12</t>
  </si>
  <si>
    <t>Ручейковая д-13</t>
  </si>
  <si>
    <t>Ручейковая д-14</t>
  </si>
  <si>
    <t>Ручейковая д-15</t>
  </si>
  <si>
    <t>Ручейковая д-16</t>
  </si>
  <si>
    <t>Ручейковая д-18</t>
  </si>
  <si>
    <t>Ручейковая д-19</t>
  </si>
  <si>
    <t>ул.Лесная, д.1</t>
  </si>
  <si>
    <t>ул.Лесная, д.2</t>
  </si>
  <si>
    <t>ул.Лесная, д.3</t>
  </si>
  <si>
    <t>ул.Лесная, д.4</t>
  </si>
  <si>
    <t>ул.Лесная, д.5</t>
  </si>
  <si>
    <t>ул.Лесная, д.14</t>
  </si>
  <si>
    <t>ул.Лесная, д.15</t>
  </si>
  <si>
    <t>ул.Октябрьская, д.2</t>
  </si>
  <si>
    <t>ул.Октябрьская, д.3</t>
  </si>
  <si>
    <t>ул.Октябрьская, д.4</t>
  </si>
  <si>
    <t>ул.Октябрьская, д.7</t>
  </si>
  <si>
    <t>ул.Октябрьская, д.22</t>
  </si>
  <si>
    <t>ул.Центральная, д.1</t>
  </si>
  <si>
    <t>ул.Центральная, д.2</t>
  </si>
  <si>
    <t>ул.Центральная, д.3</t>
  </si>
  <si>
    <t>ул.Центральная, д.4</t>
  </si>
  <si>
    <t>ул.Центральная, д.5</t>
  </si>
  <si>
    <t>ул.Центральная, д.6</t>
  </si>
  <si>
    <t>ул.Центральная, д.7</t>
  </si>
  <si>
    <t>ул.Центральная, д.8</t>
  </si>
  <si>
    <t>ул.Центральная, д.9</t>
  </si>
  <si>
    <t>ул.Центральная, д.10</t>
  </si>
  <si>
    <t>ул.Центральная, д.11</t>
  </si>
  <si>
    <t>ул.Центральная, д.39</t>
  </si>
  <si>
    <t>ул.Центральная, д.41</t>
  </si>
  <si>
    <t>ул.Центральная, д.45</t>
  </si>
  <si>
    <t>ул.Центральная, д.47</t>
  </si>
  <si>
    <t>Прибыль (убыток)</t>
  </si>
  <si>
    <t xml:space="preserve"> </t>
  </si>
  <si>
    <t>х</t>
  </si>
  <si>
    <t>С/с за  1м2</t>
  </si>
  <si>
    <t>Адрес</t>
  </si>
  <si>
    <t>Центральная д-1</t>
  </si>
  <si>
    <t>Центральная д-2</t>
  </si>
  <si>
    <t>Центральная д-3</t>
  </si>
  <si>
    <t>Центральная д-4</t>
  </si>
  <si>
    <t>Центральная д-5</t>
  </si>
  <si>
    <t>Центральная д-6</t>
  </si>
  <si>
    <t>Центральная д-7</t>
  </si>
  <si>
    <t>Центральная д-8</t>
  </si>
  <si>
    <t>Центральная д-9</t>
  </si>
  <si>
    <t>Центральная д-10</t>
  </si>
  <si>
    <t>Центральная д-15</t>
  </si>
  <si>
    <t>Центральная д-16</t>
  </si>
  <si>
    <t>Школьная д-11</t>
  </si>
  <si>
    <t>Школьная д-13</t>
  </si>
  <si>
    <t>Школьная д-14</t>
  </si>
  <si>
    <t>Зеленая д-17</t>
  </si>
  <si>
    <t>Зеленая д-19</t>
  </si>
  <si>
    <t>Парковая д-4</t>
  </si>
  <si>
    <t>Механизаторов д-1</t>
  </si>
  <si>
    <t>Механизаторов д-2</t>
  </si>
  <si>
    <t>Механизаторов д-3</t>
  </si>
  <si>
    <t>Механизаторов д-2а</t>
  </si>
  <si>
    <t>Механизаторов д-3а</t>
  </si>
  <si>
    <t>Механизаторов д-18</t>
  </si>
  <si>
    <t>Механизаторов д-19</t>
  </si>
  <si>
    <t>Механизаторов д-19а</t>
  </si>
  <si>
    <t>п.Соловьевка Центральная 102</t>
  </si>
  <si>
    <t>п.Соловьевка Центральная 104</t>
  </si>
  <si>
    <t>п.Веснино Центральная 3</t>
  </si>
  <si>
    <t>Варшко ул.Заречная 2</t>
  </si>
  <si>
    <t>Петяяри,Железн.7</t>
  </si>
  <si>
    <t>Петяяри,Железн.10</t>
  </si>
  <si>
    <t>Новостроек д-1</t>
  </si>
  <si>
    <t>Новостроек д-2</t>
  </si>
  <si>
    <t>Новостроек д-3</t>
  </si>
  <si>
    <t>Новостроек д-4</t>
  </si>
  <si>
    <t>Новостроек д-5</t>
  </si>
  <si>
    <t>Новостроек д-6</t>
  </si>
  <si>
    <t>Новостроек д-7</t>
  </si>
  <si>
    <t>Новостроек д-8</t>
  </si>
  <si>
    <t>Новостроек д-9</t>
  </si>
  <si>
    <t>Новостроек д-10</t>
  </si>
  <si>
    <t>Ногирская  д-5</t>
  </si>
  <si>
    <t>Ногирская  д-6</t>
  </si>
  <si>
    <t>Ногирская  д-32</t>
  </si>
  <si>
    <t>Ногирская  д-33</t>
  </si>
  <si>
    <t>Сан.сод</t>
  </si>
  <si>
    <t>Сан сод.</t>
  </si>
  <si>
    <t>Текущий ремонт</t>
  </si>
  <si>
    <t>Оплачено</t>
  </si>
  <si>
    <t>Сан.сод.</t>
  </si>
  <si>
    <t>Уборка помещений</t>
  </si>
  <si>
    <t>Итого по Плодовому</t>
  </si>
  <si>
    <t>Итого по Тракторному</t>
  </si>
  <si>
    <t>Итого по Соловьевке</t>
  </si>
  <si>
    <t>Содержание общего имущества</t>
  </si>
  <si>
    <t>Строителей 13</t>
  </si>
  <si>
    <t>Герметизация швов</t>
  </si>
  <si>
    <t>Общехозяйственные расходы</t>
  </si>
  <si>
    <t>Транспортный цех</t>
  </si>
  <si>
    <t>Урожайная д-5а</t>
  </si>
  <si>
    <t>Зарплата рабочих</t>
  </si>
  <si>
    <t>Общие затраты по содержанию общего имущества п.Суходолье</t>
  </si>
  <si>
    <t>Ул.Шоссейная д.15</t>
  </si>
  <si>
    <t>для рабочих-25091,1 м2</t>
  </si>
  <si>
    <t>Парковая д-6</t>
  </si>
  <si>
    <t>Парковая д-8</t>
  </si>
  <si>
    <t>Спецодежда</t>
  </si>
  <si>
    <t xml:space="preserve">Общепроизвод. расходы </t>
  </si>
  <si>
    <t>Ремонт кровли</t>
  </si>
  <si>
    <t>Ремонт подъезда</t>
  </si>
  <si>
    <t>37140,08 (без 1 эт.)</t>
  </si>
  <si>
    <t>Транспортные расходы</t>
  </si>
  <si>
    <t>Всего затраты по дому</t>
  </si>
  <si>
    <t>Парковая д-4а</t>
  </si>
  <si>
    <t>Итого затраты по дому</t>
  </si>
  <si>
    <t xml:space="preserve">Итого затраты по дому </t>
  </si>
  <si>
    <t>Замена светильников</t>
  </si>
  <si>
    <t>п.Веснино Центральная 2</t>
  </si>
  <si>
    <t xml:space="preserve">Парковая д-10 </t>
  </si>
  <si>
    <t>Утв.тариф с 01.07.16г.</t>
  </si>
  <si>
    <t>Недоплата населения</t>
  </si>
  <si>
    <t>Готово !</t>
  </si>
  <si>
    <t>Зеленая д-21</t>
  </si>
  <si>
    <t>Элетроэнергия СОИ</t>
  </si>
  <si>
    <t>Всего  по дому:     сод.общ. им-ва +э/энергия СОИ</t>
  </si>
  <si>
    <t>Готово!</t>
  </si>
  <si>
    <t>Текущий ремонт с января по апрель 2017г.</t>
  </si>
  <si>
    <t>Итого по Веснино</t>
  </si>
  <si>
    <t>Соловьевка+ Веснино</t>
  </si>
  <si>
    <t>Ремонт канализации</t>
  </si>
  <si>
    <t xml:space="preserve">  05.10.2016</t>
  </si>
  <si>
    <t xml:space="preserve">  05.10.2017</t>
  </si>
  <si>
    <t>Услуги АДС</t>
  </si>
  <si>
    <t>Учет начисления платежей</t>
  </si>
  <si>
    <t xml:space="preserve">Типографский пер.д.11 </t>
  </si>
  <si>
    <t>Обслуживание ОПУ</t>
  </si>
  <si>
    <t>Утв.тариф с 01.07.17г. по сод. общ. им-ва</t>
  </si>
  <si>
    <t>Утв.тариф с 01.07.17г. по текущему ремонту</t>
  </si>
  <si>
    <t xml:space="preserve">Общие затраты потекущему ремонту   п.Сосново </t>
  </si>
  <si>
    <t>без центр.39</t>
  </si>
  <si>
    <t>Итого сумма затрат по дому всего</t>
  </si>
  <si>
    <t xml:space="preserve">Итого сумма затрат по дому всего </t>
  </si>
  <si>
    <t xml:space="preserve"> Итого сумма затрат   по дому всего</t>
  </si>
  <si>
    <t>для рабочих</t>
  </si>
  <si>
    <t>по уборке</t>
  </si>
  <si>
    <t xml:space="preserve">Общие затраты по  содержанию общего имущества дер.Кривко за 2018 год </t>
  </si>
  <si>
    <t>Элетроэнергия СОИ ОПУ</t>
  </si>
  <si>
    <t>Уборка придомовой территории</t>
  </si>
  <si>
    <t>ХВС СОИ</t>
  </si>
  <si>
    <t>ВДГО</t>
  </si>
  <si>
    <t>Домофон</t>
  </si>
  <si>
    <t>Итого по содержанию общего имущества</t>
  </si>
  <si>
    <t>Текущий ремонт  начислялся по 31.08.2018г.</t>
  </si>
  <si>
    <t>Тек.ремонт за год ( 64174,32/8*12)</t>
  </si>
  <si>
    <t>Разница (начислено снять  с содержания)</t>
  </si>
  <si>
    <t>Содержание минус разница из текущего ремонта)</t>
  </si>
  <si>
    <t>Итого  по дому по всем видам начисления</t>
  </si>
  <si>
    <t>Услуги ЕИРЦ</t>
  </si>
  <si>
    <t>Электоэнергия СОИ</t>
  </si>
  <si>
    <t>Материалы</t>
  </si>
  <si>
    <t>Обучение</t>
  </si>
  <si>
    <t>Проездные, бланки, мобильная связь</t>
  </si>
  <si>
    <t>площадь</t>
  </si>
  <si>
    <t>Зарплата и материалы по "Уборке помещений"</t>
  </si>
  <si>
    <t>для уборки</t>
  </si>
  <si>
    <t>Зарплата и затраты по "Уборке придомовой территории"</t>
  </si>
  <si>
    <t>Общие затраты по текущему ремонту дер.Кривко за 2018г.</t>
  </si>
  <si>
    <t>Ремонт системы канализации</t>
  </si>
  <si>
    <t>Замена кабеля</t>
  </si>
  <si>
    <t>Замена кранов на стояках отопления</t>
  </si>
  <si>
    <t>Ремонт стояков Ц.О.</t>
  </si>
  <si>
    <t>Текущий ремнот за 2018год</t>
  </si>
  <si>
    <t>Общие затраты по содержанию общего имущества   п. Петровское за 2018год</t>
  </si>
  <si>
    <t>ГВС СОИ</t>
  </si>
  <si>
    <t>ГВС СОИ( К-т на тепл. ХВС Петр.)</t>
  </si>
  <si>
    <t>ГВС СОИ( К-т на тепл. энергию Петр.)</t>
  </si>
  <si>
    <t>ГВС СОИ( К-т на теплоноситель Петр.)</t>
  </si>
  <si>
    <t>Текущий ремонт  начислялся по 31.07.2018г.</t>
  </si>
  <si>
    <t>Тек.ремонт за год ( 6340,40/7*12)</t>
  </si>
  <si>
    <t>Разница (начислено снять  с содержания) 10869,26-6340,40</t>
  </si>
  <si>
    <t>Проездные, бланки, мобильная связь,м/лист,картриджи,почта, канц.товары</t>
  </si>
  <si>
    <t>дя уборки</t>
  </si>
  <si>
    <t>моб.связь модемы</t>
  </si>
  <si>
    <t>Мобильная связь (модемы теплосчетчиков)</t>
  </si>
  <si>
    <t>Замена пола в тамбуре подъезда</t>
  </si>
  <si>
    <t>Ремонт электрики</t>
  </si>
  <si>
    <t xml:space="preserve"> Ремонт выпуска системы кнс</t>
  </si>
  <si>
    <t>Ремонт лежака кнс</t>
  </si>
  <si>
    <t>Ремонт освещения в подъезде</t>
  </si>
  <si>
    <t>Ремонт стояка отопления,установка насоса</t>
  </si>
  <si>
    <t>Замена запорной арматуры на хвс и гвс</t>
  </si>
  <si>
    <t>Замена блока питания опу</t>
  </si>
  <si>
    <t>Замена кранов на стояке отопления</t>
  </si>
  <si>
    <t>Ремонт стояков хвс</t>
  </si>
  <si>
    <t>Ремонт стояков кнс</t>
  </si>
  <si>
    <t>Ремонт парапета на крыше</t>
  </si>
  <si>
    <t>Установка бетонной скамейки</t>
  </si>
  <si>
    <t>Ремонт соединений м/л на хв и гвс</t>
  </si>
  <si>
    <t>Замена стояка хвс</t>
  </si>
  <si>
    <t>Установка окон</t>
  </si>
  <si>
    <t>Установка импуьсного счетчика</t>
  </si>
  <si>
    <t>ГВС СОИ( К-т на теплоноситель)</t>
  </si>
  <si>
    <t>ГВС СОИ( К-т на тепл. энергию )</t>
  </si>
  <si>
    <t>ГВС СОИ( К-т на хвс )</t>
  </si>
  <si>
    <t>Общие затраты по содержанию общего имущества  п.Плодовое за  2018г.</t>
  </si>
  <si>
    <t>Текущий ремонт пос. Плодовое за  2018г.</t>
  </si>
  <si>
    <t>Начислено</t>
  </si>
  <si>
    <t>Тек.ремонт за год ( 15767,92/7*12)</t>
  </si>
  <si>
    <t>Разница (начислено снять  с содержания) 27030,72-15767,92</t>
  </si>
  <si>
    <t>Текущий ремонт за 2018год</t>
  </si>
  <si>
    <t>Оплачено разница с сод</t>
  </si>
  <si>
    <t>Аренда</t>
  </si>
  <si>
    <t>текущий ремонт</t>
  </si>
  <si>
    <t>Итого  по дому по всем видам начисления ( по содержанию общего имущества)</t>
  </si>
  <si>
    <t>Изгот. ключей,табличек,м/листы,услуги моб.связи,услуги почты,</t>
  </si>
  <si>
    <t>Компенсация за использование личного транспорта</t>
  </si>
  <si>
    <t>Услуги вышки</t>
  </si>
  <si>
    <t>Зарплата  по "Уборке помещ.и придом. территории"</t>
  </si>
  <si>
    <t>Материалы  по "Уборке помещ.и придом. территории"</t>
  </si>
  <si>
    <t>Ремонт крыльца</t>
  </si>
  <si>
    <t>Ремонт козырьков</t>
  </si>
  <si>
    <t>Замена элемента питания ОПУ</t>
  </si>
  <si>
    <t>Замена кабеля и автоматов вСШ</t>
  </si>
  <si>
    <t>Ремонт системы ЦО</t>
  </si>
  <si>
    <t>Замена и установка  радиатора</t>
  </si>
  <si>
    <t>Остекление подъезда</t>
  </si>
  <si>
    <t>Замена лежака ХВС</t>
  </si>
  <si>
    <t>Замена светильников (ремонт освещения)</t>
  </si>
  <si>
    <t>Замена запорной арматуры</t>
  </si>
  <si>
    <t>Ремонт электрощита</t>
  </si>
  <si>
    <t>Установка прибора учета эл/энергии</t>
  </si>
  <si>
    <t>Ремонт отмостки</t>
  </si>
  <si>
    <t>Освещение подъездов</t>
  </si>
  <si>
    <t>Ремонт полотенцесушителя</t>
  </si>
  <si>
    <t>Общие затраты по содержанию общего имуществ  п.Понтонное</t>
  </si>
  <si>
    <t xml:space="preserve">за 2018 год </t>
  </si>
  <si>
    <t>Эл/энергия СОИ</t>
  </si>
  <si>
    <t>Эл/энергия ОПУ СОИ</t>
  </si>
  <si>
    <t>ГВС СОИ (к-т на теплоэнергию)</t>
  </si>
  <si>
    <t>ГВС СОИ ( к-т на ХВС)</t>
  </si>
  <si>
    <t xml:space="preserve">ХВС СОИ </t>
  </si>
  <si>
    <t>Электроэнергия СОИ ОПУ</t>
  </si>
  <si>
    <t>Уборка помещений и придомовой территории</t>
  </si>
  <si>
    <t>Тек.ремонт за год ( 16675,49/7*12)</t>
  </si>
  <si>
    <t>Итого  по дому по всем видам начисления ( по содержанию общего имущества )за 2018год</t>
  </si>
  <si>
    <t>Общие затраты по содержанию общего имущества п.Тракторное за  2018год</t>
  </si>
  <si>
    <t>Текущий ремонт за  2018г.</t>
  </si>
  <si>
    <t>Дератизация</t>
  </si>
  <si>
    <t>Услуги почты</t>
  </si>
  <si>
    <t xml:space="preserve"> ГВС СОИ(к-т на тепл.)</t>
  </si>
  <si>
    <t>Откачка воды из подвала ( эл. насос)</t>
  </si>
  <si>
    <t>Ремонт хвс</t>
  </si>
  <si>
    <t>Ремонт двери</t>
  </si>
  <si>
    <t>Ремонт лежака хвс</t>
  </si>
  <si>
    <t>готово</t>
  </si>
  <si>
    <t>Содержание общего имущества с января по апрель 2018г.</t>
  </si>
  <si>
    <t>Установка насоса для окачки воды в подвале</t>
  </si>
  <si>
    <t>Общие затраты п.Сосново по содержанию общего имущества за 2018г.</t>
  </si>
  <si>
    <t>Элетроэнергия  СОИ ОПУ</t>
  </si>
  <si>
    <t>Никитина д.8</t>
  </si>
  <si>
    <t>Тек.ремонт за год ( 94708/8*12)</t>
  </si>
  <si>
    <t>Разница (начислено снять  с содержания) 142062-94708</t>
  </si>
  <si>
    <t>Установка ОПУ</t>
  </si>
  <si>
    <t>Расчистка территории от снега</t>
  </si>
  <si>
    <t>Услуга по поверке комлекта термопреобразователя</t>
  </si>
  <si>
    <t>Поверка датчика давления</t>
  </si>
  <si>
    <t>Посыпка дорог</t>
  </si>
  <si>
    <t>Уборка снега</t>
  </si>
  <si>
    <t>Уборка придомовой территори ( Материалы)</t>
  </si>
  <si>
    <t>Уборка помещений ( зарплата)</t>
  </si>
  <si>
    <t>Уборка помещений ( материалы)</t>
  </si>
  <si>
    <t>Консультация передпроверкой знаний эл.безопастности</t>
  </si>
  <si>
    <t>Обследование МКД</t>
  </si>
  <si>
    <t>Проездные, бланки, мобильная связь,</t>
  </si>
  <si>
    <t>за 2018год</t>
  </si>
  <si>
    <t>Остаток по дому</t>
  </si>
  <si>
    <t>Ремонт козырьков(з/пл.)</t>
  </si>
  <si>
    <t>Ремонт подъездов (з/пл.)</t>
  </si>
  <si>
    <t>Гидроизоляция коырьков ( з/пл.)</t>
  </si>
  <si>
    <t>Ремонт кровли (з/пл.)</t>
  </si>
  <si>
    <t>Ремонт подъездов (материалы)</t>
  </si>
  <si>
    <t>Ремонт стояка отопления</t>
  </si>
  <si>
    <t>Ремонт балкона</t>
  </si>
  <si>
    <t>Ремонт стояка Ц.О.</t>
  </si>
  <si>
    <t>Ремонт эл.щита</t>
  </si>
  <si>
    <t>лен.7</t>
  </si>
  <si>
    <t>Ремонт каналиц. Трубы</t>
  </si>
  <si>
    <t>лен9</t>
  </si>
  <si>
    <t>Ремонт швов</t>
  </si>
  <si>
    <t>Ремонт входной двери</t>
  </si>
  <si>
    <t>связи 11</t>
  </si>
  <si>
    <t>Замена окон</t>
  </si>
  <si>
    <t>свяязи 13</t>
  </si>
  <si>
    <t>связи 7</t>
  </si>
  <si>
    <t>связи 9</t>
  </si>
  <si>
    <t>строит 13</t>
  </si>
  <si>
    <t>Ремонт подъезда 26 сч.</t>
  </si>
  <si>
    <t>Общие затраты потекущему ремонту   п.Сосново  Расчет</t>
  </si>
  <si>
    <t xml:space="preserve">Ремонт подъездов </t>
  </si>
  <si>
    <t xml:space="preserve">Гидроизоляция коырьков </t>
  </si>
  <si>
    <t xml:space="preserve">Ремонт кровли </t>
  </si>
  <si>
    <t>Ремонт канализационной трубы</t>
  </si>
  <si>
    <t>ГВС СОИ ( К-т на теплоноситель)</t>
  </si>
  <si>
    <t>ГВС СОИ ( К-т на теплоэнергию)</t>
  </si>
  <si>
    <t>Ремонт козырьков (материалы)</t>
  </si>
  <si>
    <t>Эл/эн. день СОИ</t>
  </si>
  <si>
    <t>Эл/эн. ночь СОИ</t>
  </si>
  <si>
    <t>Эл/энергия ОПУ  СОИ</t>
  </si>
  <si>
    <t>за  2018г.</t>
  </si>
  <si>
    <t>Ремонт скамеек</t>
  </si>
  <si>
    <t>Проведение строительной экспертизы</t>
  </si>
  <si>
    <t>Тек.ремонт за год ( 17838,80/7*12)</t>
  </si>
  <si>
    <t>Разница (начислено снять  с содержания) 30580,8-17838,8</t>
  </si>
  <si>
    <t>Итого по текущему ремонту за 2018 год</t>
  </si>
  <si>
    <t>ГВС СОИ (К-т на тепл.энергию)</t>
  </si>
  <si>
    <t>ГВС СОИ (К-т на хвс)</t>
  </si>
  <si>
    <t>Замена выпуска канализации</t>
  </si>
  <si>
    <t>Повышение квалификации</t>
  </si>
  <si>
    <t>Услуги спец. техники( транспорт. стоков)</t>
  </si>
  <si>
    <t>Участие в семинаре</t>
  </si>
  <si>
    <t>Уборка помещений и придом. территориии ( зарплата)</t>
  </si>
  <si>
    <t>Уборка помещений и придом. территориии (материалы)</t>
  </si>
  <si>
    <t>Уборка помещений и придом. территориии (медосмотр)</t>
  </si>
  <si>
    <t>Снятие показаний эл/энергии</t>
  </si>
  <si>
    <t>ок</t>
  </si>
  <si>
    <t>Установка прибороучета хвс (материалы)</t>
  </si>
  <si>
    <t>Установка прибороучета хвс(проект)</t>
  </si>
  <si>
    <t>Ремнот и заправка картриджа;канц. расходы;м/листы;услуги моб.связиуслуги почты</t>
  </si>
  <si>
    <t>Ремонт ступенек</t>
  </si>
  <si>
    <t>Ремонт подъезда (скрыть)</t>
  </si>
  <si>
    <t>Замена запорной арматуры на ЦО</t>
  </si>
  <si>
    <t>Замена крана на ГВС</t>
  </si>
  <si>
    <t>Замена трубы ГВС и кранов</t>
  </si>
  <si>
    <t>Герметизация (обмотка) труб</t>
  </si>
  <si>
    <t>Ремонт крылец</t>
  </si>
  <si>
    <t>Общие затраты по содержанию общего имущества п. Ромашки  за 2018 год</t>
  </si>
  <si>
    <t>Обследование кровли</t>
  </si>
  <si>
    <t>Общие затраты по  текущему ремонту п. Ромашки за 2018г.</t>
  </si>
  <si>
    <t>Тек.ремонт за год ( 17787/7*12)</t>
  </si>
  <si>
    <t>Разница (начислено снять  с содержания) 30492-17787</t>
  </si>
  <si>
    <t>Услуги спецтехники</t>
  </si>
  <si>
    <t>Зарплата  по "Уборке помещений и придомовой территории"</t>
  </si>
  <si>
    <t>Материалы по "Уборке помещений и придомовой территории"</t>
  </si>
  <si>
    <t>Маршрутный лист;услуги моб.связи;услуги почты</t>
  </si>
  <si>
    <t xml:space="preserve">Замена блока питания и сотового модема </t>
  </si>
  <si>
    <t>Обогрев труб</t>
  </si>
  <si>
    <t>Замена радиаторов ( по дому 10 кв.34,53)</t>
  </si>
  <si>
    <t>Освещение подъездов, замена выключателей</t>
  </si>
  <si>
    <t>Установка водоотливов</t>
  </si>
  <si>
    <t>Ремонт системы отопления</t>
  </si>
  <si>
    <t>Замена ХВС</t>
  </si>
  <si>
    <t>Работа помпы</t>
  </si>
  <si>
    <t>Текущий ремнот за 2018год (по декабрь )</t>
  </si>
  <si>
    <t>Услуги РИЦ</t>
  </si>
  <si>
    <t>Замена электропроводки</t>
  </si>
  <si>
    <t>Установка насоса</t>
  </si>
  <si>
    <t>Ремонт пола</t>
  </si>
  <si>
    <t>приход</t>
  </si>
  <si>
    <t>расход</t>
  </si>
  <si>
    <t>2018 Снегиревка</t>
  </si>
  <si>
    <t>содержание</t>
  </si>
  <si>
    <t>СОИ ХВС</t>
  </si>
  <si>
    <t>СОИ ЭЛ</t>
  </si>
  <si>
    <t>убор прид</t>
  </si>
  <si>
    <t>ИТОГО Затраты по дому</t>
  </si>
  <si>
    <t>домофон</t>
  </si>
  <si>
    <t>АДС</t>
  </si>
  <si>
    <t>дезинсекция</t>
  </si>
  <si>
    <t>зарплата</t>
  </si>
  <si>
    <t>услуги ЕИРЦ</t>
  </si>
  <si>
    <t>проездн. Охрана труда.мобил</t>
  </si>
  <si>
    <t>СОИ эл</t>
  </si>
  <si>
    <t>СОИ  хвс</t>
  </si>
  <si>
    <t>материал</t>
  </si>
  <si>
    <t>общехоз</t>
  </si>
  <si>
    <t>транспорт</t>
  </si>
  <si>
    <t>учеба</t>
  </si>
  <si>
    <t>уборка помещений</t>
  </si>
  <si>
    <t>уборка придомовой</t>
  </si>
  <si>
    <t xml:space="preserve">очистка </t>
  </si>
  <si>
    <t>год т/р</t>
  </si>
  <si>
    <t>7 мес</t>
  </si>
  <si>
    <t>5мес</t>
  </si>
  <si>
    <t>оплачено</t>
  </si>
  <si>
    <t>нач</t>
  </si>
  <si>
    <t>опл</t>
  </si>
  <si>
    <t>начислено</t>
  </si>
  <si>
    <t>кровли</t>
  </si>
  <si>
    <t>Гагарина д-1</t>
  </si>
  <si>
    <t>Гагарина д-3</t>
  </si>
  <si>
    <t>Гагарина д-8</t>
  </si>
  <si>
    <t>Гагарина д- 10</t>
  </si>
  <si>
    <t>Гагарина д-16</t>
  </si>
  <si>
    <t>Горького д-4</t>
  </si>
  <si>
    <t>Горького д-20а</t>
  </si>
  <si>
    <t>Луговая д-12</t>
  </si>
  <si>
    <t>Майская д-1</t>
  </si>
  <si>
    <t>Майская д-3</t>
  </si>
  <si>
    <t>Майская д-5</t>
  </si>
  <si>
    <t>Набережная д- 4</t>
  </si>
  <si>
    <t>Набережная д- 6</t>
  </si>
  <si>
    <t>Набережная д- 8</t>
  </si>
  <si>
    <t>Набережная д- 10</t>
  </si>
  <si>
    <t>Набережная д- 14</t>
  </si>
  <si>
    <t>Набережная д- 35</t>
  </si>
  <si>
    <t>Центральная д- 12а</t>
  </si>
  <si>
    <t>Центральная д- 17а</t>
  </si>
  <si>
    <t>Центральная д- 19а</t>
  </si>
  <si>
    <t>Центральная д- 25</t>
  </si>
  <si>
    <t>Центральная д- 27</t>
  </si>
  <si>
    <t>Школьная д-5а</t>
  </si>
  <si>
    <t>Школьная д-6</t>
  </si>
  <si>
    <t>Школьная д-7а</t>
  </si>
  <si>
    <t>Школьная д-8</t>
  </si>
  <si>
    <t>Школьная д-9а</t>
  </si>
  <si>
    <t>Школьная д-19</t>
  </si>
  <si>
    <t>Школьная д-30</t>
  </si>
  <si>
    <t>тек ремонт</t>
  </si>
  <si>
    <t>выполнено</t>
  </si>
  <si>
    <t>Оплачено 5 мес</t>
  </si>
  <si>
    <t>герметиз швов</t>
  </si>
  <si>
    <t>подъезд</t>
  </si>
  <si>
    <t>отмостка</t>
  </si>
  <si>
    <t>кровля</t>
  </si>
  <si>
    <t>электрика</t>
  </si>
  <si>
    <t>очистка фасада</t>
  </si>
  <si>
    <t>канализ</t>
  </si>
  <si>
    <t>отопление</t>
  </si>
  <si>
    <t>входн двери</t>
  </si>
  <si>
    <t>Общая площадь</t>
  </si>
  <si>
    <t>тариф</t>
  </si>
  <si>
    <t>сои эл</t>
  </si>
  <si>
    <t>Затраты ВСЕГО</t>
  </si>
  <si>
    <t>по июль18</t>
  </si>
  <si>
    <t>с июля 18</t>
  </si>
  <si>
    <t>ЕИРЦ</t>
  </si>
  <si>
    <t>элэнерг</t>
  </si>
  <si>
    <t>связь моб</t>
  </si>
  <si>
    <t>проверка смет</t>
  </si>
  <si>
    <t>уборка</t>
  </si>
  <si>
    <t>Горбунки д,18</t>
  </si>
  <si>
    <t>с февраля 2018г</t>
  </si>
  <si>
    <t>Горбунки д,14-1</t>
  </si>
  <si>
    <t>Горбунки д,14-2</t>
  </si>
  <si>
    <t>Горбунки д,14-3</t>
  </si>
  <si>
    <t xml:space="preserve">тек ремонт </t>
  </si>
  <si>
    <t>т/ремонт</t>
  </si>
  <si>
    <t>Всего</t>
  </si>
  <si>
    <t>замна окна</t>
  </si>
  <si>
    <t>швы</t>
  </si>
  <si>
    <t>освещ подвала</t>
  </si>
  <si>
    <t>2018год</t>
  </si>
  <si>
    <t>ТБО</t>
  </si>
  <si>
    <t>мусор</t>
  </si>
  <si>
    <t>услуги</t>
  </si>
  <si>
    <t>год</t>
  </si>
  <si>
    <t>Тариф  по май</t>
  </si>
  <si>
    <t>Сумма по тарифу</t>
  </si>
  <si>
    <t>июнь</t>
  </si>
  <si>
    <t>июль-</t>
  </si>
  <si>
    <t>ВСЕГО по дому</t>
  </si>
  <si>
    <t>декабрь</t>
  </si>
  <si>
    <t>дезинсекц</t>
  </si>
  <si>
    <t>общепроиз</t>
  </si>
  <si>
    <t>паспорт тбо</t>
  </si>
  <si>
    <t>Разбегаево,45</t>
  </si>
  <si>
    <t>Разбегаево,47</t>
  </si>
  <si>
    <t>Разбегаево,51</t>
  </si>
  <si>
    <t>Разбегаево,53</t>
  </si>
  <si>
    <t>Разбегаево,55</t>
  </si>
  <si>
    <t>Итого по поселку</t>
  </si>
  <si>
    <t>т/р</t>
  </si>
  <si>
    <t>Всего затрат</t>
  </si>
  <si>
    <t>Тариф по май</t>
  </si>
  <si>
    <t>освещ подвал</t>
  </si>
  <si>
    <t>установ окон</t>
  </si>
  <si>
    <t>ремонт подъезда</t>
  </si>
  <si>
    <t>козырьки</t>
  </si>
  <si>
    <t>ремонт система гвс</t>
  </si>
  <si>
    <t>ремонт система хвс</t>
  </si>
  <si>
    <t>утеплен система гвс</t>
  </si>
  <si>
    <t>утеплен система отопл</t>
  </si>
  <si>
    <t>замена частич системы отопл</t>
  </si>
  <si>
    <t>замена армат отопл</t>
  </si>
  <si>
    <t>ремонт вход. Крыльц</t>
  </si>
  <si>
    <t>ремонт отмостки</t>
  </si>
  <si>
    <t>установ светильн подъезд</t>
  </si>
  <si>
    <t>с мая 18</t>
  </si>
  <si>
    <t>с мая13.5</t>
  </si>
  <si>
    <t>с мая 5.85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</si>
</sst>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 x14ac:knownFonts="1">
    <font>
      <sz val="11"/>
      <color theme="1"/>
      <name val="Calibri"/>
      <family val="2"/>
      <charset val="204"/>
      <scheme val="minor"/>
    </font>
    <font>
      <sz val="14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11"/>
      <name val="Arial Cyr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i/>
      <sz val="10"/>
      <name val="Arial Cyr"/>
      <family val="2"/>
      <charset val="204"/>
    </font>
    <font>
      <b/>
      <i/>
      <sz val="14"/>
      <name val="Arial Cyr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name val="Arial Cyr"/>
      <family val="2"/>
      <charset val="204"/>
    </font>
    <font>
      <sz val="11"/>
      <name val="Calibri"/>
      <family val="2"/>
      <charset val="204"/>
      <scheme val="minor"/>
    </font>
    <font>
      <i/>
      <sz val="14"/>
      <name val="Arial Cyr"/>
      <charset val="204"/>
    </font>
    <font>
      <b/>
      <i/>
      <sz val="11"/>
      <name val="Calibri"/>
      <family val="2"/>
      <charset val="204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b/>
      <i/>
      <sz val="9"/>
      <name val="Arial Cyr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8"/>
      <name val="Arial Cyr"/>
      <charset val="204"/>
    </font>
    <font>
      <i/>
      <sz val="8"/>
      <name val="Arial Cyr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name val="Arial Cyr"/>
      <charset val="204"/>
    </font>
    <font>
      <i/>
      <sz val="9"/>
      <name val="Arial Cyr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1"/>
      <name val="Arial Cyr"/>
      <charset val="204"/>
    </font>
    <font>
      <b/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i/>
      <sz val="8"/>
      <name val="Arial"/>
      <family val="2"/>
      <charset val="204"/>
    </font>
    <font>
      <i/>
      <sz val="10"/>
      <color theme="1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1"/>
      <name val="Arial Cyr"/>
      <charset val="204"/>
    </font>
    <font>
      <sz val="8"/>
      <name val="Arial Cyr"/>
      <charset val="204"/>
    </font>
    <font>
      <sz val="9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0"/>
      <name val="Arial Narrow"/>
      <family val="2"/>
      <charset val="204"/>
    </font>
    <font>
      <i/>
      <sz val="10"/>
      <name val="Arial Cyr"/>
      <family val="2"/>
      <charset val="204"/>
    </font>
    <font>
      <i/>
      <sz val="1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6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7" fillId="0" borderId="1" xfId="0" applyFont="1" applyBorder="1"/>
    <xf numFmtId="0" fontId="0" fillId="0" borderId="0" xfId="0" applyFont="1"/>
    <xf numFmtId="0" fontId="18" fillId="0" borderId="0" xfId="0" applyFont="1"/>
    <xf numFmtId="0" fontId="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4" fontId="0" fillId="0" borderId="1" xfId="0" applyNumberFormat="1" applyBorder="1"/>
    <xf numFmtId="4" fontId="8" fillId="0" borderId="1" xfId="0" applyNumberFormat="1" applyFont="1" applyBorder="1" applyAlignment="1">
      <alignment horizontal="center"/>
    </xf>
    <xf numFmtId="4" fontId="0" fillId="0" borderId="0" xfId="0" applyNumberFormat="1"/>
    <xf numFmtId="0" fontId="2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right"/>
    </xf>
    <xf numFmtId="0" fontId="27" fillId="0" borderId="0" xfId="0" applyFont="1"/>
    <xf numFmtId="2" fontId="2" fillId="0" borderId="0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Border="1" applyAlignment="1">
      <alignment horizontal="center" vertical="center"/>
    </xf>
    <xf numFmtId="0" fontId="25" fillId="0" borderId="0" xfId="0" applyFont="1"/>
    <xf numFmtId="0" fontId="2" fillId="0" borderId="3" xfId="0" applyFont="1" applyBorder="1" applyAlignment="1">
      <alignment horizontal="left"/>
    </xf>
    <xf numFmtId="2" fontId="0" fillId="0" borderId="0" xfId="0" applyNumberForma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4" fontId="2" fillId="0" borderId="6" xfId="0" applyNumberFormat="1" applyFont="1" applyBorder="1" applyAlignment="1">
      <alignment horizontal="center"/>
    </xf>
    <xf numFmtId="0" fontId="24" fillId="0" borderId="0" xfId="0" applyFont="1"/>
    <xf numFmtId="4" fontId="0" fillId="0" borderId="0" xfId="0" applyNumberFormat="1" applyBorder="1"/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7" fillId="0" borderId="1" xfId="0" applyFont="1" applyBorder="1"/>
    <xf numFmtId="0" fontId="5" fillId="0" borderId="3" xfId="0" applyFont="1" applyBorder="1"/>
    <xf numFmtId="0" fontId="6" fillId="0" borderId="3" xfId="0" applyFont="1" applyBorder="1"/>
    <xf numFmtId="0" fontId="0" fillId="0" borderId="3" xfId="0" applyBorder="1"/>
    <xf numFmtId="0" fontId="9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2" fontId="9" fillId="2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Border="1" applyAlignment="1">
      <alignment vertical="top" wrapText="1"/>
    </xf>
    <xf numFmtId="4" fontId="0" fillId="0" borderId="0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4" fontId="8" fillId="0" borderId="6" xfId="0" applyNumberFormat="1" applyFont="1" applyBorder="1" applyAlignment="1">
      <alignment horizontal="center"/>
    </xf>
    <xf numFmtId="0" fontId="0" fillId="0" borderId="19" xfId="0" applyBorder="1" applyAlignment="1"/>
    <xf numFmtId="0" fontId="2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/>
    </xf>
    <xf numFmtId="4" fontId="0" fillId="0" borderId="3" xfId="0" applyNumberFormat="1" applyBorder="1"/>
    <xf numFmtId="0" fontId="2" fillId="0" borderId="0" xfId="0" applyFont="1" applyFill="1" applyBorder="1"/>
    <xf numFmtId="0" fontId="19" fillId="0" borderId="1" xfId="0" applyFont="1" applyBorder="1" applyAlignment="1">
      <alignment horizontal="center" vertical="top" wrapText="1"/>
    </xf>
    <xf numFmtId="0" fontId="17" fillId="2" borderId="1" xfId="0" applyFont="1" applyFill="1" applyBorder="1"/>
    <xf numFmtId="4" fontId="8" fillId="2" borderId="1" xfId="0" applyNumberFormat="1" applyFont="1" applyFill="1" applyBorder="1" applyAlignment="1">
      <alignment horizontal="center"/>
    </xf>
    <xf numFmtId="0" fontId="0" fillId="0" borderId="22" xfId="0" applyBorder="1" applyAlignment="1"/>
    <xf numFmtId="0" fontId="0" fillId="0" borderId="6" xfId="0" applyBorder="1" applyAlignment="1"/>
    <xf numFmtId="0" fontId="0" fillId="0" borderId="23" xfId="0" applyBorder="1" applyAlignment="1"/>
    <xf numFmtId="0" fontId="0" fillId="0" borderId="15" xfId="0" applyBorder="1" applyAlignment="1"/>
    <xf numFmtId="0" fontId="22" fillId="0" borderId="0" xfId="0" applyFont="1" applyAlignment="1"/>
    <xf numFmtId="0" fontId="2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2" borderId="1" xfId="0" applyFont="1" applyFill="1" applyBorder="1"/>
    <xf numFmtId="0" fontId="21" fillId="3" borderId="3" xfId="0" applyFont="1" applyFill="1" applyBorder="1" applyAlignment="1">
      <alignment horizontal="center" vertical="top"/>
    </xf>
    <xf numFmtId="0" fontId="15" fillId="0" borderId="0" xfId="0" applyFont="1"/>
    <xf numFmtId="0" fontId="0" fillId="0" borderId="0" xfId="0" applyBorder="1" applyAlignment="1"/>
    <xf numFmtId="0" fontId="0" fillId="2" borderId="0" xfId="0" applyFill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9" fillId="0" borderId="0" xfId="0" applyFont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/>
    </xf>
    <xf numFmtId="4" fontId="8" fillId="3" borderId="1" xfId="0" applyNumberFormat="1" applyFont="1" applyFill="1" applyBorder="1" applyAlignment="1">
      <alignment horizontal="center"/>
    </xf>
    <xf numFmtId="0" fontId="21" fillId="3" borderId="8" xfId="0" applyFont="1" applyFill="1" applyBorder="1" applyAlignment="1">
      <alignment horizontal="left" vertical="top"/>
    </xf>
    <xf numFmtId="0" fontId="21" fillId="3" borderId="11" xfId="0" applyFont="1" applyFill="1" applyBorder="1" applyAlignment="1">
      <alignment horizontal="left" vertical="top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/>
    <xf numFmtId="4" fontId="30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/>
    <xf numFmtId="4" fontId="37" fillId="0" borderId="3" xfId="0" applyNumberFormat="1" applyFont="1" applyBorder="1"/>
    <xf numFmtId="0" fontId="9" fillId="2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4" fontId="2" fillId="3" borderId="3" xfId="0" applyNumberFormat="1" applyFont="1" applyFill="1" applyBorder="1" applyAlignment="1">
      <alignment horizontal="center"/>
    </xf>
    <xf numFmtId="4" fontId="8" fillId="3" borderId="3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23" fillId="0" borderId="0" xfId="0" applyFont="1" applyBorder="1" applyAlignment="1"/>
    <xf numFmtId="4" fontId="23" fillId="0" borderId="0" xfId="0" applyNumberFormat="1" applyFont="1" applyBorder="1" applyAlignment="1"/>
    <xf numFmtId="0" fontId="0" fillId="0" borderId="0" xfId="0" applyBorder="1" applyAlignment="1">
      <alignment horizontal="right"/>
    </xf>
    <xf numFmtId="0" fontId="23" fillId="0" borderId="0" xfId="0" applyFont="1"/>
    <xf numFmtId="0" fontId="0" fillId="2" borderId="0" xfId="0" applyFill="1"/>
    <xf numFmtId="0" fontId="40" fillId="0" borderId="0" xfId="0" applyFont="1" applyAlignment="1"/>
    <xf numFmtId="0" fontId="25" fillId="0" borderId="0" xfId="0" applyFont="1" applyAlignment="1"/>
    <xf numFmtId="0" fontId="23" fillId="0" borderId="0" xfId="0" applyFont="1" applyAlignment="1"/>
    <xf numFmtId="0" fontId="0" fillId="0" borderId="0" xfId="0" applyAlignment="1">
      <alignment horizontal="right"/>
    </xf>
    <xf numFmtId="0" fontId="15" fillId="0" borderId="0" xfId="0" applyFont="1" applyAlignment="1"/>
    <xf numFmtId="0" fontId="12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34" fillId="0" borderId="1" xfId="0" applyNumberFormat="1" applyFont="1" applyBorder="1" applyAlignment="1">
      <alignment horizontal="right"/>
    </xf>
    <xf numFmtId="0" fontId="0" fillId="0" borderId="1" xfId="0" applyBorder="1" applyAlignment="1"/>
    <xf numFmtId="0" fontId="8" fillId="2" borderId="3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4" fontId="28" fillId="0" borderId="1" xfId="0" applyNumberFormat="1" applyFont="1" applyFill="1" applyBorder="1" applyAlignment="1">
      <alignment horizontal="center" vertical="top"/>
    </xf>
    <xf numFmtId="0" fontId="30" fillId="0" borderId="1" xfId="0" applyFont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/>
    </xf>
    <xf numFmtId="0" fontId="30" fillId="2" borderId="1" xfId="0" applyFont="1" applyFill="1" applyBorder="1" applyAlignment="1">
      <alignment horizontal="left"/>
    </xf>
    <xf numFmtId="0" fontId="30" fillId="2" borderId="2" xfId="0" applyFont="1" applyFill="1" applyBorder="1" applyAlignment="1">
      <alignment horizontal="left"/>
    </xf>
    <xf numFmtId="4" fontId="36" fillId="0" borderId="1" xfId="0" applyNumberFormat="1" applyFont="1" applyBorder="1" applyAlignment="1">
      <alignment horizontal="center" vertical="top"/>
    </xf>
    <xf numFmtId="0" fontId="28" fillId="0" borderId="1" xfId="0" applyFont="1" applyBorder="1" applyAlignment="1">
      <alignment horizontal="left"/>
    </xf>
    <xf numFmtId="0" fontId="41" fillId="0" borderId="0" xfId="0" applyFont="1" applyBorder="1" applyAlignment="1"/>
    <xf numFmtId="4" fontId="0" fillId="0" borderId="1" xfId="0" applyNumberFormat="1" applyBorder="1" applyAlignment="1"/>
    <xf numFmtId="0" fontId="16" fillId="0" borderId="0" xfId="0" applyFont="1" applyAlignment="1"/>
    <xf numFmtId="0" fontId="16" fillId="0" borderId="23" xfId="0" applyFont="1" applyBorder="1" applyAlignment="1"/>
    <xf numFmtId="4" fontId="9" fillId="0" borderId="1" xfId="0" applyNumberFormat="1" applyFont="1" applyFill="1" applyBorder="1" applyAlignment="1">
      <alignment horizontal="center" vertical="top"/>
    </xf>
    <xf numFmtId="0" fontId="23" fillId="0" borderId="1" xfId="0" applyFont="1" applyBorder="1"/>
    <xf numFmtId="4" fontId="23" fillId="0" borderId="1" xfId="0" applyNumberFormat="1" applyFont="1" applyBorder="1"/>
    <xf numFmtId="0" fontId="4" fillId="2" borderId="1" xfId="0" applyFont="1" applyFill="1" applyBorder="1" applyAlignment="1">
      <alignment horizontal="left"/>
    </xf>
    <xf numFmtId="4" fontId="30" fillId="0" borderId="1" xfId="0" applyNumberFormat="1" applyFont="1" applyBorder="1" applyAlignment="1">
      <alignment horizontal="right" vertical="top" wrapText="1"/>
    </xf>
    <xf numFmtId="4" fontId="30" fillId="0" borderId="1" xfId="0" applyNumberFormat="1" applyFont="1" applyFill="1" applyBorder="1" applyAlignment="1">
      <alignment horizontal="right" vertical="top" wrapText="1"/>
    </xf>
    <xf numFmtId="4" fontId="30" fillId="0" borderId="1" xfId="0" applyNumberFormat="1" applyFont="1" applyBorder="1" applyAlignment="1">
      <alignment horizontal="right"/>
    </xf>
    <xf numFmtId="4" fontId="35" fillId="0" borderId="1" xfId="0" applyNumberFormat="1" applyFont="1" applyBorder="1" applyAlignment="1">
      <alignment horizontal="right"/>
    </xf>
    <xf numFmtId="0" fontId="30" fillId="0" borderId="2" xfId="0" applyFont="1" applyBorder="1" applyAlignment="1">
      <alignment horizontal="left"/>
    </xf>
    <xf numFmtId="4" fontId="30" fillId="0" borderId="2" xfId="0" applyNumberFormat="1" applyFont="1" applyBorder="1" applyAlignment="1">
      <alignment horizontal="right" vertical="top" wrapText="1"/>
    </xf>
    <xf numFmtId="4" fontId="30" fillId="0" borderId="2" xfId="0" applyNumberFormat="1" applyFont="1" applyBorder="1" applyAlignment="1">
      <alignment horizontal="right"/>
    </xf>
    <xf numFmtId="4" fontId="30" fillId="0" borderId="2" xfId="0" applyNumberFormat="1" applyFont="1" applyFill="1" applyBorder="1" applyAlignment="1">
      <alignment horizontal="right" vertical="top" wrapText="1"/>
    </xf>
    <xf numFmtId="2" fontId="48" fillId="0" borderId="1" xfId="0" applyNumberFormat="1" applyFont="1" applyBorder="1" applyAlignment="1">
      <alignment horizontal="left" vertical="center"/>
    </xf>
    <xf numFmtId="0" fontId="36" fillId="0" borderId="0" xfId="0" applyFont="1"/>
    <xf numFmtId="0" fontId="36" fillId="0" borderId="0" xfId="0" applyFont="1" applyAlignment="1"/>
    <xf numFmtId="0" fontId="21" fillId="0" borderId="1" xfId="0" applyFont="1" applyBorder="1" applyAlignment="1">
      <alignment horizontal="center" vertical="top" wrapText="1"/>
    </xf>
    <xf numFmtId="0" fontId="57" fillId="0" borderId="0" xfId="0" applyFont="1" applyBorder="1" applyAlignment="1"/>
    <xf numFmtId="0" fontId="9" fillId="0" borderId="0" xfId="0" applyFont="1" applyAlignment="1"/>
    <xf numFmtId="0" fontId="0" fillId="2" borderId="16" xfId="0" applyFill="1" applyBorder="1"/>
    <xf numFmtId="0" fontId="32" fillId="2" borderId="17" xfId="0" applyFont="1" applyFill="1" applyBorder="1"/>
    <xf numFmtId="0" fontId="0" fillId="2" borderId="17" xfId="0" applyFill="1" applyBorder="1"/>
    <xf numFmtId="0" fontId="19" fillId="2" borderId="17" xfId="0" applyFont="1" applyFill="1" applyBorder="1" applyAlignment="1">
      <alignment horizontal="center"/>
    </xf>
    <xf numFmtId="2" fontId="19" fillId="2" borderId="17" xfId="0" applyNumberFormat="1" applyFont="1" applyFill="1" applyBorder="1" applyAlignment="1">
      <alignment horizontal="center"/>
    </xf>
    <xf numFmtId="4" fontId="35" fillId="0" borderId="1" xfId="0" applyNumberFormat="1" applyFont="1" applyBorder="1" applyAlignment="1"/>
    <xf numFmtId="4" fontId="35" fillId="0" borderId="1" xfId="0" applyNumberFormat="1" applyFont="1" applyBorder="1" applyAlignment="1">
      <alignment horizontal="center" vertical="top"/>
    </xf>
    <xf numFmtId="0" fontId="58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/>
    </xf>
    <xf numFmtId="14" fontId="37" fillId="0" borderId="1" xfId="0" applyNumberFormat="1" applyFont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14" fontId="37" fillId="2" borderId="1" xfId="0" applyNumberFormat="1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14" fontId="39" fillId="0" borderId="1" xfId="0" applyNumberFormat="1" applyFont="1" applyBorder="1" applyAlignment="1">
      <alignment horizontal="center"/>
    </xf>
    <xf numFmtId="14" fontId="37" fillId="0" borderId="1" xfId="0" applyNumberFormat="1" applyFont="1" applyBorder="1" applyAlignment="1">
      <alignment horizontal="center" vertical="center" wrapText="1"/>
    </xf>
    <xf numFmtId="14" fontId="37" fillId="0" borderId="1" xfId="0" applyNumberFormat="1" applyFont="1" applyBorder="1" applyAlignment="1">
      <alignment horizontal="center" vertical="center"/>
    </xf>
    <xf numFmtId="4" fontId="30" fillId="2" borderId="1" xfId="0" applyNumberFormat="1" applyFont="1" applyFill="1" applyBorder="1" applyAlignment="1">
      <alignment horizontal="right"/>
    </xf>
    <xf numFmtId="0" fontId="39" fillId="3" borderId="1" xfId="0" applyFont="1" applyFill="1" applyBorder="1" applyAlignment="1">
      <alignment horizontal="center"/>
    </xf>
    <xf numFmtId="0" fontId="4" fillId="0" borderId="0" xfId="0" applyFont="1" applyBorder="1" applyAlignment="1"/>
    <xf numFmtId="14" fontId="37" fillId="0" borderId="1" xfId="0" applyNumberFormat="1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57" fillId="0" borderId="0" xfId="0" applyFont="1"/>
    <xf numFmtId="0" fontId="19" fillId="0" borderId="1" xfId="0" applyFont="1" applyBorder="1" applyAlignment="1">
      <alignment horizontal="center" vertical="top" wrapText="1"/>
    </xf>
    <xf numFmtId="4" fontId="30" fillId="0" borderId="8" xfId="0" applyNumberFormat="1" applyFont="1" applyBorder="1" applyAlignment="1">
      <alignment horizontal="right" wrapText="1"/>
    </xf>
    <xf numFmtId="4" fontId="30" fillId="0" borderId="1" xfId="0" applyNumberFormat="1" applyFont="1" applyFill="1" applyBorder="1" applyAlignment="1">
      <alignment horizontal="right"/>
    </xf>
    <xf numFmtId="4" fontId="30" fillId="0" borderId="3" xfId="0" applyNumberFormat="1" applyFont="1" applyFill="1" applyBorder="1" applyAlignment="1">
      <alignment horizontal="right"/>
    </xf>
    <xf numFmtId="4" fontId="35" fillId="0" borderId="3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30" fillId="2" borderId="8" xfId="0" applyNumberFormat="1" applyFont="1" applyFill="1" applyBorder="1" applyAlignment="1">
      <alignment horizontal="right" wrapText="1"/>
    </xf>
    <xf numFmtId="4" fontId="30" fillId="2" borderId="3" xfId="0" applyNumberFormat="1" applyFont="1" applyFill="1" applyBorder="1" applyAlignment="1">
      <alignment horizontal="right"/>
    </xf>
    <xf numFmtId="4" fontId="30" fillId="0" borderId="1" xfId="0" applyNumberFormat="1" applyFont="1" applyBorder="1" applyAlignment="1">
      <alignment horizontal="right" wrapText="1"/>
    </xf>
    <xf numFmtId="4" fontId="30" fillId="0" borderId="2" xfId="0" applyNumberFormat="1" applyFont="1" applyBorder="1" applyAlignment="1">
      <alignment horizontal="right" wrapText="1"/>
    </xf>
    <xf numFmtId="4" fontId="30" fillId="2" borderId="2" xfId="0" applyNumberFormat="1" applyFont="1" applyFill="1" applyBorder="1" applyAlignment="1">
      <alignment horizontal="right"/>
    </xf>
    <xf numFmtId="4" fontId="28" fillId="2" borderId="1" xfId="0" applyNumberFormat="1" applyFont="1" applyFill="1" applyBorder="1" applyAlignment="1">
      <alignment horizontal="right"/>
    </xf>
    <xf numFmtId="4" fontId="28" fillId="0" borderId="1" xfId="0" applyNumberFormat="1" applyFont="1" applyBorder="1" applyAlignment="1">
      <alignment horizontal="right"/>
    </xf>
    <xf numFmtId="4" fontId="28" fillId="0" borderId="1" xfId="0" applyNumberFormat="1" applyFont="1" applyFill="1" applyBorder="1" applyAlignment="1">
      <alignment horizontal="right" vertical="top"/>
    </xf>
    <xf numFmtId="4" fontId="23" fillId="0" borderId="1" xfId="0" applyNumberFormat="1" applyFont="1" applyBorder="1" applyAlignment="1">
      <alignment horizontal="right"/>
    </xf>
    <xf numFmtId="2" fontId="28" fillId="2" borderId="1" xfId="0" applyNumberFormat="1" applyFont="1" applyFill="1" applyBorder="1" applyAlignment="1">
      <alignment horizontal="right"/>
    </xf>
    <xf numFmtId="4" fontId="51" fillId="0" borderId="1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top"/>
    </xf>
    <xf numFmtId="4" fontId="9" fillId="0" borderId="3" xfId="0" applyNumberFormat="1" applyFont="1" applyFill="1" applyBorder="1" applyAlignment="1">
      <alignment horizontal="right" vertical="top"/>
    </xf>
    <xf numFmtId="4" fontId="2" fillId="0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top"/>
    </xf>
    <xf numFmtId="0" fontId="30" fillId="0" borderId="1" xfId="0" applyFont="1" applyBorder="1" applyAlignment="1">
      <alignment horizontal="right" wrapText="1"/>
    </xf>
    <xf numFmtId="0" fontId="35" fillId="0" borderId="1" xfId="0" applyFont="1" applyBorder="1" applyAlignment="1">
      <alignment horizontal="right"/>
    </xf>
    <xf numFmtId="0" fontId="30" fillId="2" borderId="1" xfId="0" applyFont="1" applyFill="1" applyBorder="1" applyAlignment="1">
      <alignment horizontal="right" wrapText="1"/>
    </xf>
    <xf numFmtId="0" fontId="30" fillId="2" borderId="8" xfId="0" applyFont="1" applyFill="1" applyBorder="1" applyAlignment="1">
      <alignment horizontal="right" wrapText="1"/>
    </xf>
    <xf numFmtId="0" fontId="30" fillId="0" borderId="1" xfId="0" applyFont="1" applyBorder="1" applyAlignment="1">
      <alignment horizontal="right"/>
    </xf>
    <xf numFmtId="2" fontId="30" fillId="2" borderId="1" xfId="0" applyNumberFormat="1" applyFont="1" applyFill="1" applyBorder="1" applyAlignment="1">
      <alignment horizontal="right"/>
    </xf>
    <xf numFmtId="2" fontId="30" fillId="2" borderId="8" xfId="0" applyNumberFormat="1" applyFont="1" applyFill="1" applyBorder="1" applyAlignment="1">
      <alignment horizontal="right"/>
    </xf>
    <xf numFmtId="4" fontId="30" fillId="2" borderId="8" xfId="0" applyNumberFormat="1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5" fillId="0" borderId="9" xfId="0" applyFont="1" applyBorder="1" applyAlignment="1">
      <alignment horizontal="right"/>
    </xf>
    <xf numFmtId="0" fontId="30" fillId="2" borderId="1" xfId="0" applyFont="1" applyFill="1" applyBorder="1" applyAlignment="1">
      <alignment horizontal="right"/>
    </xf>
    <xf numFmtId="0" fontId="35" fillId="2" borderId="9" xfId="0" applyFont="1" applyFill="1" applyBorder="1" applyAlignment="1">
      <alignment horizontal="right"/>
    </xf>
    <xf numFmtId="0" fontId="30" fillId="7" borderId="1" xfId="0" applyFont="1" applyFill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2" fontId="30" fillId="6" borderId="8" xfId="0" applyNumberFormat="1" applyFont="1" applyFill="1" applyBorder="1" applyAlignment="1">
      <alignment horizontal="right"/>
    </xf>
    <xf numFmtId="0" fontId="30" fillId="2" borderId="2" xfId="0" applyFont="1" applyFill="1" applyBorder="1" applyAlignment="1">
      <alignment horizontal="right"/>
    </xf>
    <xf numFmtId="2" fontId="30" fillId="2" borderId="2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8" fillId="6" borderId="11" xfId="0" applyFont="1" applyFill="1" applyBorder="1" applyAlignment="1">
      <alignment horizontal="right" vertical="top" wrapText="1"/>
    </xf>
    <xf numFmtId="0" fontId="8" fillId="6" borderId="15" xfId="0" applyFont="1" applyFill="1" applyBorder="1" applyAlignment="1">
      <alignment horizontal="right" vertical="top" wrapText="1"/>
    </xf>
    <xf numFmtId="0" fontId="30" fillId="6" borderId="8" xfId="0" applyFont="1" applyFill="1" applyBorder="1" applyAlignment="1">
      <alignment horizontal="right" wrapText="1"/>
    </xf>
    <xf numFmtId="2" fontId="30" fillId="6" borderId="1" xfId="0" applyNumberFormat="1" applyFont="1" applyFill="1" applyBorder="1" applyAlignment="1">
      <alignment horizontal="right"/>
    </xf>
    <xf numFmtId="2" fontId="30" fillId="6" borderId="2" xfId="0" applyNumberFormat="1" applyFont="1" applyFill="1" applyBorder="1" applyAlignment="1">
      <alignment horizontal="right"/>
    </xf>
    <xf numFmtId="2" fontId="28" fillId="6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2" fontId="9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2" fontId="9" fillId="2" borderId="2" xfId="0" applyNumberFormat="1" applyFont="1" applyFill="1" applyBorder="1" applyAlignment="1">
      <alignment horizontal="right"/>
    </xf>
    <xf numFmtId="0" fontId="2" fillId="6" borderId="8" xfId="0" applyFont="1" applyFill="1" applyBorder="1" applyAlignment="1">
      <alignment horizontal="right" vertical="top" wrapText="1"/>
    </xf>
    <xf numFmtId="2" fontId="9" fillId="6" borderId="8" xfId="0" applyNumberFormat="1" applyFont="1" applyFill="1" applyBorder="1" applyAlignment="1">
      <alignment horizontal="right"/>
    </xf>
    <xf numFmtId="2" fontId="9" fillId="6" borderId="1" xfId="0" applyNumberFormat="1" applyFont="1" applyFill="1" applyBorder="1" applyAlignment="1">
      <alignment horizontal="right"/>
    </xf>
    <xf numFmtId="2" fontId="9" fillId="6" borderId="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 vertical="top" wrapText="1"/>
    </xf>
    <xf numFmtId="4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top" wrapText="1"/>
    </xf>
    <xf numFmtId="0" fontId="0" fillId="0" borderId="21" xfId="0" applyBorder="1" applyAlignment="1">
      <alignment horizontal="right"/>
    </xf>
    <xf numFmtId="4" fontId="2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2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30" fillId="0" borderId="1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4" fontId="19" fillId="2" borderId="1" xfId="0" applyNumberFormat="1" applyFont="1" applyFill="1" applyBorder="1" applyAlignment="1">
      <alignment horizontal="right"/>
    </xf>
    <xf numFmtId="0" fontId="30" fillId="0" borderId="2" xfId="0" applyFont="1" applyBorder="1" applyAlignment="1">
      <alignment horizontal="right"/>
    </xf>
    <xf numFmtId="2" fontId="48" fillId="0" borderId="1" xfId="0" applyNumberFormat="1" applyFont="1" applyBorder="1" applyAlignment="1">
      <alignment horizontal="right"/>
    </xf>
    <xf numFmtId="0" fontId="36" fillId="0" borderId="0" xfId="0" applyFont="1" applyAlignment="1">
      <alignment horizontal="right"/>
    </xf>
    <xf numFmtId="2" fontId="36" fillId="0" borderId="0" xfId="0" applyNumberFormat="1" applyFont="1" applyAlignment="1">
      <alignment horizontal="right"/>
    </xf>
    <xf numFmtId="0" fontId="52" fillId="0" borderId="0" xfId="0" applyFont="1" applyBorder="1" applyAlignment="1">
      <alignment horizontal="right"/>
    </xf>
    <xf numFmtId="0" fontId="52" fillId="0" borderId="0" xfId="0" applyFont="1" applyAlignment="1">
      <alignment horizontal="right"/>
    </xf>
    <xf numFmtId="0" fontId="55" fillId="0" borderId="4" xfId="0" applyFont="1" applyBorder="1" applyAlignment="1">
      <alignment horizontal="right" vertical="top" wrapText="1"/>
    </xf>
    <xf numFmtId="0" fontId="55" fillId="0" borderId="1" xfId="0" applyFont="1" applyBorder="1" applyAlignment="1">
      <alignment horizontal="right" vertical="top" wrapText="1"/>
    </xf>
    <xf numFmtId="0" fontId="30" fillId="0" borderId="0" xfId="0" applyFont="1" applyFill="1" applyBorder="1" applyAlignment="1">
      <alignment horizontal="right"/>
    </xf>
    <xf numFmtId="4" fontId="36" fillId="0" borderId="0" xfId="0" applyNumberFormat="1" applyFont="1" applyAlignment="1">
      <alignment horizontal="right"/>
    </xf>
    <xf numFmtId="0" fontId="36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44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2" fontId="28" fillId="0" borderId="1" xfId="0" applyNumberFormat="1" applyFont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14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4" fontId="45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5" fillId="0" borderId="1" xfId="0" applyFont="1" applyBorder="1" applyAlignment="1">
      <alignment horizontal="right"/>
    </xf>
    <xf numFmtId="4" fontId="46" fillId="0" borderId="1" xfId="0" applyNumberFormat="1" applyFont="1" applyBorder="1" applyAlignment="1">
      <alignment horizontal="right"/>
    </xf>
    <xf numFmtId="0" fontId="19" fillId="2" borderId="1" xfId="0" applyFont="1" applyFill="1" applyBorder="1" applyAlignment="1">
      <alignment horizontal="right" vertical="top" wrapText="1"/>
    </xf>
    <xf numFmtId="4" fontId="35" fillId="2" borderId="1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4" fontId="37" fillId="0" borderId="0" xfId="0" applyNumberFormat="1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0" fontId="17" fillId="0" borderId="9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4" fontId="38" fillId="0" borderId="19" xfId="0" applyNumberFormat="1" applyFont="1" applyFill="1" applyBorder="1" applyAlignment="1">
      <alignment horizontal="right"/>
    </xf>
    <xf numFmtId="0" fontId="39" fillId="0" borderId="0" xfId="0" applyFont="1" applyBorder="1" applyAlignment="1">
      <alignment horizontal="right"/>
    </xf>
    <xf numFmtId="4" fontId="38" fillId="0" borderId="12" xfId="0" applyNumberFormat="1" applyFont="1" applyFill="1" applyBorder="1" applyAlignment="1">
      <alignment horizontal="right"/>
    </xf>
    <xf numFmtId="0" fontId="8" fillId="7" borderId="15" xfId="0" applyFont="1" applyFill="1" applyBorder="1" applyAlignment="1">
      <alignment horizontal="center" vertical="center" wrapText="1"/>
    </xf>
    <xf numFmtId="2" fontId="30" fillId="7" borderId="1" xfId="0" applyNumberFormat="1" applyFont="1" applyFill="1" applyBorder="1" applyAlignment="1">
      <alignment horizontal="right"/>
    </xf>
    <xf numFmtId="2" fontId="34" fillId="7" borderId="1" xfId="0" applyNumberFormat="1" applyFont="1" applyFill="1" applyBorder="1" applyAlignment="1">
      <alignment horizontal="right"/>
    </xf>
    <xf numFmtId="0" fontId="34" fillId="7" borderId="8" xfId="0" applyFont="1" applyFill="1" applyBorder="1" applyAlignment="1">
      <alignment horizontal="right" vertical="top" wrapText="1"/>
    </xf>
    <xf numFmtId="0" fontId="34" fillId="7" borderId="4" xfId="0" applyFont="1" applyFill="1" applyBorder="1" applyAlignment="1">
      <alignment horizontal="right" vertical="top" wrapText="1"/>
    </xf>
    <xf numFmtId="2" fontId="30" fillId="7" borderId="2" xfId="0" applyNumberFormat="1" applyFont="1" applyFill="1" applyBorder="1" applyAlignment="1">
      <alignment horizontal="right"/>
    </xf>
    <xf numFmtId="4" fontId="28" fillId="7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4" fontId="0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wrapText="1"/>
    </xf>
    <xf numFmtId="4" fontId="26" fillId="0" borderId="1" xfId="0" applyNumberFormat="1" applyFont="1" applyFill="1" applyBorder="1" applyAlignment="1">
      <alignment horizontal="right" wrapText="1"/>
    </xf>
    <xf numFmtId="4" fontId="26" fillId="0" borderId="3" xfId="0" applyNumberFormat="1" applyFont="1" applyFill="1" applyBorder="1" applyAlignment="1">
      <alignment horizontal="right" wrapText="1"/>
    </xf>
    <xf numFmtId="4" fontId="0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19" fillId="2" borderId="4" xfId="0" applyFont="1" applyFill="1" applyBorder="1" applyAlignment="1">
      <alignment horizontal="right" vertical="top" wrapText="1"/>
    </xf>
    <xf numFmtId="4" fontId="0" fillId="2" borderId="1" xfId="0" applyNumberFormat="1" applyFont="1" applyFill="1" applyBorder="1" applyAlignment="1">
      <alignment horizontal="right" wrapText="1"/>
    </xf>
    <xf numFmtId="4" fontId="19" fillId="2" borderId="1" xfId="0" applyNumberFormat="1" applyFont="1" applyFill="1" applyBorder="1" applyAlignment="1">
      <alignment horizontal="right" wrapText="1"/>
    </xf>
    <xf numFmtId="0" fontId="8" fillId="7" borderId="11" xfId="0" applyFont="1" applyFill="1" applyBorder="1" applyAlignment="1">
      <alignment horizontal="right" vertical="top"/>
    </xf>
    <xf numFmtId="0" fontId="8" fillId="7" borderId="15" xfId="0" applyFont="1" applyFill="1" applyBorder="1" applyAlignment="1">
      <alignment horizontal="right" vertical="top"/>
    </xf>
    <xf numFmtId="0" fontId="26" fillId="7" borderId="1" xfId="0" applyFont="1" applyFill="1" applyBorder="1" applyAlignment="1">
      <alignment horizontal="right" wrapText="1"/>
    </xf>
    <xf numFmtId="2" fontId="26" fillId="7" borderId="1" xfId="0" applyNumberFormat="1" applyFont="1" applyFill="1" applyBorder="1" applyAlignment="1">
      <alignment horizontal="right"/>
    </xf>
    <xf numFmtId="4" fontId="0" fillId="7" borderId="1" xfId="0" applyNumberFormat="1" applyFont="1" applyFill="1" applyBorder="1" applyAlignment="1">
      <alignment horizontal="right" wrapText="1"/>
    </xf>
    <xf numFmtId="4" fontId="26" fillId="0" borderId="1" xfId="0" applyNumberFormat="1" applyFont="1" applyBorder="1" applyAlignment="1">
      <alignment horizontal="right"/>
    </xf>
    <xf numFmtId="4" fontId="36" fillId="0" borderId="1" xfId="0" applyNumberFormat="1" applyFont="1" applyBorder="1" applyAlignment="1">
      <alignment horizontal="right" vertical="top"/>
    </xf>
    <xf numFmtId="4" fontId="9" fillId="6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4" fontId="45" fillId="0" borderId="0" xfId="0" applyNumberFormat="1" applyFont="1"/>
    <xf numFmtId="2" fontId="45" fillId="0" borderId="0" xfId="0" applyNumberFormat="1" applyFont="1"/>
    <xf numFmtId="0" fontId="8" fillId="6" borderId="15" xfId="0" applyFont="1" applyFill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35" fillId="0" borderId="1" xfId="0" applyNumberFormat="1" applyFont="1" applyBorder="1" applyAlignment="1">
      <alignment horizontal="right" vertical="top"/>
    </xf>
    <xf numFmtId="4" fontId="2" fillId="2" borderId="3" xfId="0" applyNumberFormat="1" applyFont="1" applyFill="1" applyBorder="1" applyAlignment="1">
      <alignment horizontal="right" vertical="top"/>
    </xf>
    <xf numFmtId="2" fontId="47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>
      <alignment horizontal="right"/>
    </xf>
    <xf numFmtId="4" fontId="12" fillId="2" borderId="2" xfId="0" applyNumberFormat="1" applyFont="1" applyFill="1" applyBorder="1" applyAlignment="1">
      <alignment horizontal="right" vertical="top"/>
    </xf>
    <xf numFmtId="4" fontId="9" fillId="6" borderId="8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 vertical="top"/>
    </xf>
    <xf numFmtId="2" fontId="9" fillId="6" borderId="1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4" fontId="28" fillId="6" borderId="18" xfId="0" applyNumberFormat="1" applyFont="1" applyFill="1" applyBorder="1" applyAlignment="1">
      <alignment horizontal="center"/>
    </xf>
    <xf numFmtId="4" fontId="35" fillId="0" borderId="3" xfId="0" applyNumberFormat="1" applyFont="1" applyBorder="1" applyAlignment="1">
      <alignment horizontal="right" vertical="top"/>
    </xf>
    <xf numFmtId="4" fontId="35" fillId="0" borderId="2" xfId="0" applyNumberFormat="1" applyFont="1" applyBorder="1" applyAlignment="1">
      <alignment horizontal="right" vertical="top"/>
    </xf>
    <xf numFmtId="4" fontId="30" fillId="0" borderId="8" xfId="0" applyNumberFormat="1" applyFont="1" applyBorder="1" applyAlignment="1">
      <alignment horizontal="right"/>
    </xf>
    <xf numFmtId="4" fontId="0" fillId="0" borderId="2" xfId="0" applyNumberFormat="1" applyBorder="1"/>
    <xf numFmtId="0" fontId="4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" fontId="21" fillId="0" borderId="1" xfId="0" applyNumberFormat="1" applyFont="1" applyFill="1" applyBorder="1" applyAlignment="1">
      <alignment horizontal="right"/>
    </xf>
    <xf numFmtId="4" fontId="30" fillId="2" borderId="1" xfId="0" applyNumberFormat="1" applyFont="1" applyFill="1" applyBorder="1" applyAlignment="1">
      <alignment horizontal="right" vertical="top"/>
    </xf>
    <xf numFmtId="4" fontId="36" fillId="2" borderId="1" xfId="0" applyNumberFormat="1" applyFont="1" applyFill="1" applyBorder="1" applyAlignment="1">
      <alignment horizontal="right" vertical="top"/>
    </xf>
    <xf numFmtId="4" fontId="35" fillId="2" borderId="1" xfId="0" applyNumberFormat="1" applyFont="1" applyFill="1" applyBorder="1" applyAlignment="1">
      <alignment horizontal="right" vertical="top"/>
    </xf>
    <xf numFmtId="2" fontId="9" fillId="2" borderId="19" xfId="0" applyNumberFormat="1" applyFont="1" applyFill="1" applyBorder="1" applyAlignment="1">
      <alignment horizontal="right"/>
    </xf>
    <xf numFmtId="4" fontId="9" fillId="2" borderId="19" xfId="0" applyNumberFormat="1" applyFont="1" applyFill="1" applyBorder="1" applyAlignment="1">
      <alignment horizontal="right"/>
    </xf>
    <xf numFmtId="4" fontId="48" fillId="2" borderId="11" xfId="0" applyNumberFormat="1" applyFont="1" applyFill="1" applyBorder="1" applyAlignment="1">
      <alignment horizontal="right"/>
    </xf>
    <xf numFmtId="4" fontId="30" fillId="2" borderId="12" xfId="0" applyNumberFormat="1" applyFont="1" applyFill="1" applyBorder="1" applyAlignment="1">
      <alignment horizontal="right" vertical="top"/>
    </xf>
    <xf numFmtId="4" fontId="30" fillId="2" borderId="11" xfId="0" applyNumberFormat="1" applyFont="1" applyFill="1" applyBorder="1" applyAlignment="1">
      <alignment horizontal="right"/>
    </xf>
    <xf numFmtId="4" fontId="36" fillId="2" borderId="12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 vertical="top" wrapText="1"/>
    </xf>
    <xf numFmtId="0" fontId="19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4" fontId="9" fillId="6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center" vertical="top" wrapText="1"/>
    </xf>
    <xf numFmtId="0" fontId="22" fillId="0" borderId="0" xfId="0" applyFont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" fontId="30" fillId="0" borderId="1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4" fontId="0" fillId="2" borderId="8" xfId="0" applyNumberFormat="1" applyFont="1" applyFill="1" applyBorder="1" applyAlignment="1">
      <alignment horizontal="right" vertical="top" wrapText="1"/>
    </xf>
    <xf numFmtId="4" fontId="0" fillId="0" borderId="2" xfId="0" applyNumberFormat="1" applyFont="1" applyBorder="1" applyAlignment="1">
      <alignment horizontal="right" vertical="top" wrapText="1"/>
    </xf>
    <xf numFmtId="4" fontId="0" fillId="0" borderId="1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/>
    </xf>
    <xf numFmtId="2" fontId="37" fillId="0" borderId="0" xfId="0" applyNumberFormat="1" applyFont="1" applyBorder="1"/>
    <xf numFmtId="4" fontId="39" fillId="0" borderId="0" xfId="0" applyNumberFormat="1" applyFont="1" applyBorder="1"/>
    <xf numFmtId="0" fontId="0" fillId="0" borderId="0" xfId="0" applyFill="1" applyBorder="1"/>
    <xf numFmtId="4" fontId="56" fillId="0" borderId="1" xfId="0" applyNumberFormat="1" applyFont="1" applyBorder="1" applyAlignment="1">
      <alignment horizontal="right"/>
    </xf>
    <xf numFmtId="4" fontId="9" fillId="2" borderId="6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/>
    <xf numFmtId="4" fontId="2" fillId="0" borderId="23" xfId="0" applyNumberFormat="1" applyFont="1" applyBorder="1" applyAlignment="1">
      <alignment horizontal="right"/>
    </xf>
    <xf numFmtId="4" fontId="2" fillId="0" borderId="1" xfId="0" applyNumberFormat="1" applyFont="1" applyBorder="1" applyAlignment="1"/>
    <xf numFmtId="4" fontId="42" fillId="0" borderId="0" xfId="0" applyNumberFormat="1" applyFont="1" applyBorder="1"/>
    <xf numFmtId="2" fontId="4" fillId="2" borderId="1" xfId="0" applyNumberFormat="1" applyFont="1" applyFill="1" applyBorder="1" applyAlignment="1">
      <alignment horizontal="right"/>
    </xf>
    <xf numFmtId="0" fontId="60" fillId="0" borderId="0" xfId="0" applyFont="1"/>
    <xf numFmtId="0" fontId="22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2" fontId="31" fillId="0" borderId="0" xfId="0" applyNumberFormat="1" applyFont="1" applyAlignment="1"/>
    <xf numFmtId="0" fontId="9" fillId="0" borderId="0" xfId="0" applyFont="1" applyAlignment="1">
      <alignment horizontal="right"/>
    </xf>
    <xf numFmtId="0" fontId="35" fillId="0" borderId="1" xfId="0" applyFont="1" applyBorder="1"/>
    <xf numFmtId="4" fontId="35" fillId="0" borderId="1" xfId="0" applyNumberFormat="1" applyFont="1" applyBorder="1"/>
    <xf numFmtId="4" fontId="9" fillId="6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right"/>
    </xf>
    <xf numFmtId="0" fontId="19" fillId="2" borderId="4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right"/>
    </xf>
    <xf numFmtId="2" fontId="9" fillId="5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4" fontId="35" fillId="2" borderId="1" xfId="0" applyNumberFormat="1" applyFont="1" applyFill="1" applyBorder="1" applyAlignment="1"/>
    <xf numFmtId="4" fontId="35" fillId="2" borderId="1" xfId="0" applyNumberFormat="1" applyFont="1" applyFill="1" applyBorder="1"/>
    <xf numFmtId="0" fontId="35" fillId="2" borderId="1" xfId="0" applyFont="1" applyFill="1" applyBorder="1"/>
    <xf numFmtId="0" fontId="35" fillId="2" borderId="1" xfId="0" applyFont="1" applyFill="1" applyBorder="1" applyAlignment="1"/>
    <xf numFmtId="4" fontId="42" fillId="0" borderId="0" xfId="0" applyNumberFormat="1" applyFont="1"/>
    <xf numFmtId="4" fontId="9" fillId="6" borderId="6" xfId="0" applyNumberFormat="1" applyFont="1" applyFill="1" applyBorder="1" applyAlignment="1">
      <alignment horizontal="right"/>
    </xf>
    <xf numFmtId="4" fontId="42" fillId="0" borderId="0" xfId="0" applyNumberFormat="1" applyFont="1" applyAlignment="1"/>
    <xf numFmtId="2" fontId="37" fillId="2" borderId="1" xfId="0" applyNumberFormat="1" applyFont="1" applyFill="1" applyBorder="1" applyAlignment="1">
      <alignment horizontal="right"/>
    </xf>
    <xf numFmtId="2" fontId="50" fillId="2" borderId="1" xfId="0" applyNumberFormat="1" applyFont="1" applyFill="1" applyBorder="1" applyAlignment="1">
      <alignment horizontal="right"/>
    </xf>
    <xf numFmtId="0" fontId="21" fillId="0" borderId="3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4" fontId="9" fillId="0" borderId="11" xfId="0" applyNumberFormat="1" applyFont="1" applyBorder="1" applyAlignment="1">
      <alignment horizontal="right"/>
    </xf>
    <xf numFmtId="4" fontId="12" fillId="0" borderId="12" xfId="0" applyNumberFormat="1" applyFont="1" applyFill="1" applyBorder="1" applyAlignment="1">
      <alignment horizontal="right" vertical="top"/>
    </xf>
    <xf numFmtId="4" fontId="2" fillId="0" borderId="12" xfId="0" applyNumberFormat="1" applyFont="1" applyFill="1" applyBorder="1" applyAlignment="1">
      <alignment horizontal="right" vertical="top"/>
    </xf>
    <xf numFmtId="4" fontId="35" fillId="0" borderId="12" xfId="0" applyNumberFormat="1" applyFont="1" applyBorder="1" applyAlignment="1">
      <alignment horizontal="right" vertical="top"/>
    </xf>
    <xf numFmtId="4" fontId="37" fillId="0" borderId="0" xfId="0" applyNumberFormat="1" applyFont="1" applyBorder="1" applyAlignment="1"/>
    <xf numFmtId="14" fontId="58" fillId="0" borderId="1" xfId="0" applyNumberFormat="1" applyFont="1" applyBorder="1" applyAlignment="1">
      <alignment vertical="center"/>
    </xf>
    <xf numFmtId="4" fontId="58" fillId="0" borderId="1" xfId="0" applyNumberFormat="1" applyFont="1" applyBorder="1" applyAlignment="1">
      <alignment vertical="center"/>
    </xf>
    <xf numFmtId="14" fontId="58" fillId="0" borderId="2" xfId="0" applyNumberFormat="1" applyFont="1" applyBorder="1" applyAlignment="1">
      <alignment vertical="center"/>
    </xf>
    <xf numFmtId="2" fontId="37" fillId="0" borderId="0" xfId="0" applyNumberFormat="1" applyFont="1" applyBorder="1" applyAlignment="1"/>
    <xf numFmtId="0" fontId="8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21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4" fontId="30" fillId="2" borderId="2" xfId="0" applyNumberFormat="1" applyFont="1" applyFill="1" applyBorder="1" applyAlignment="1">
      <alignment horizontal="right" vertical="top"/>
    </xf>
    <xf numFmtId="4" fontId="35" fillId="2" borderId="2" xfId="0" applyNumberFormat="1" applyFont="1" applyFill="1" applyBorder="1" applyAlignment="1">
      <alignment horizontal="right" vertical="top"/>
    </xf>
    <xf numFmtId="0" fontId="60" fillId="2" borderId="12" xfId="0" applyFont="1" applyFill="1" applyBorder="1"/>
    <xf numFmtId="4" fontId="4" fillId="0" borderId="3" xfId="0" applyNumberFormat="1" applyFont="1" applyBorder="1"/>
    <xf numFmtId="0" fontId="0" fillId="2" borderId="1" xfId="0" applyFill="1" applyBorder="1"/>
    <xf numFmtId="0" fontId="60" fillId="2" borderId="1" xfId="0" applyFont="1" applyFill="1" applyBorder="1"/>
    <xf numFmtId="0" fontId="19" fillId="2" borderId="1" xfId="0" applyFont="1" applyFill="1" applyBorder="1" applyAlignment="1">
      <alignment horizontal="right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4" fontId="56" fillId="0" borderId="1" xfId="0" applyNumberFormat="1" applyFont="1" applyBorder="1" applyAlignment="1">
      <alignment horizontal="right" wrapText="1"/>
    </xf>
    <xf numFmtId="2" fontId="56" fillId="0" borderId="1" xfId="0" applyNumberFormat="1" applyFont="1" applyBorder="1" applyAlignment="1">
      <alignment horizontal="right"/>
    </xf>
    <xf numFmtId="4" fontId="56" fillId="0" borderId="1" xfId="0" applyNumberFormat="1" applyFont="1" applyBorder="1" applyAlignment="1">
      <alignment horizontal="right" vertical="center" wrapText="1"/>
    </xf>
    <xf numFmtId="0" fontId="36" fillId="0" borderId="21" xfId="0" applyFont="1" applyBorder="1" applyAlignment="1"/>
    <xf numFmtId="0" fontId="59" fillId="0" borderId="21" xfId="0" applyFont="1" applyBorder="1" applyAlignment="1"/>
    <xf numFmtId="2" fontId="43" fillId="0" borderId="0" xfId="0" applyNumberFormat="1" applyFont="1" applyAlignment="1"/>
    <xf numFmtId="0" fontId="43" fillId="0" borderId="0" xfId="0" applyFont="1" applyAlignment="1"/>
    <xf numFmtId="0" fontId="19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4" fontId="30" fillId="0" borderId="2" xfId="0" applyNumberFormat="1" applyFont="1" applyBorder="1" applyAlignment="1">
      <alignment horizontal="center"/>
    </xf>
    <xf numFmtId="4" fontId="56" fillId="0" borderId="1" xfId="0" applyNumberFormat="1" applyFont="1" applyBorder="1" applyAlignment="1">
      <alignment horizontal="center" wrapText="1"/>
    </xf>
    <xf numFmtId="4" fontId="30" fillId="0" borderId="1" xfId="0" applyNumberFormat="1" applyFont="1" applyBorder="1" applyAlignment="1">
      <alignment horizontal="center" wrapText="1"/>
    </xf>
    <xf numFmtId="4" fontId="30" fillId="0" borderId="1" xfId="0" applyNumberFormat="1" applyFont="1" applyFill="1" applyBorder="1" applyAlignment="1">
      <alignment horizontal="center" wrapText="1"/>
    </xf>
    <xf numFmtId="4" fontId="30" fillId="0" borderId="2" xfId="0" applyNumberFormat="1" applyFont="1" applyBorder="1" applyAlignment="1">
      <alignment horizontal="center" wrapText="1"/>
    </xf>
    <xf numFmtId="4" fontId="30" fillId="0" borderId="2" xfId="0" applyNumberFormat="1" applyFont="1" applyFill="1" applyBorder="1" applyAlignment="1">
      <alignment horizontal="center" wrapText="1"/>
    </xf>
    <xf numFmtId="4" fontId="56" fillId="0" borderId="1" xfId="0" applyNumberFormat="1" applyFont="1" applyBorder="1" applyAlignment="1">
      <alignment horizontal="center"/>
    </xf>
    <xf numFmtId="0" fontId="55" fillId="3" borderId="4" xfId="0" applyFont="1" applyFill="1" applyBorder="1" applyAlignment="1">
      <alignment horizontal="right" vertical="top" wrapText="1"/>
    </xf>
    <xf numFmtId="0" fontId="55" fillId="3" borderId="1" xfId="0" applyFont="1" applyFill="1" applyBorder="1" applyAlignment="1">
      <alignment horizontal="right" vertical="top" wrapText="1"/>
    </xf>
    <xf numFmtId="4" fontId="30" fillId="3" borderId="1" xfId="0" applyNumberFormat="1" applyFont="1" applyFill="1" applyBorder="1" applyAlignment="1">
      <alignment horizontal="center" wrapText="1"/>
    </xf>
    <xf numFmtId="4" fontId="56" fillId="3" borderId="1" xfId="0" applyNumberFormat="1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4" fontId="30" fillId="3" borderId="1" xfId="0" applyNumberFormat="1" applyFont="1" applyFill="1" applyBorder="1" applyAlignment="1">
      <alignment horizontal="right" vertical="top" wrapText="1"/>
    </xf>
    <xf numFmtId="4" fontId="56" fillId="3" borderId="1" xfId="0" applyNumberFormat="1" applyFont="1" applyFill="1" applyBorder="1" applyAlignment="1">
      <alignment horizontal="right" wrapText="1"/>
    </xf>
    <xf numFmtId="4" fontId="56" fillId="3" borderId="1" xfId="0" applyNumberFormat="1" applyFont="1" applyFill="1" applyBorder="1" applyAlignment="1">
      <alignment horizontal="right" vertical="center" wrapText="1"/>
    </xf>
    <xf numFmtId="0" fontId="56" fillId="0" borderId="1" xfId="0" applyFont="1" applyBorder="1" applyAlignment="1">
      <alignment horizontal="center"/>
    </xf>
    <xf numFmtId="2" fontId="56" fillId="0" borderId="1" xfId="0" applyNumberFormat="1" applyFont="1" applyBorder="1" applyAlignment="1">
      <alignment horizontal="center"/>
    </xf>
    <xf numFmtId="4" fontId="2" fillId="2" borderId="8" xfId="0" applyNumberFormat="1" applyFont="1" applyFill="1" applyBorder="1" applyAlignment="1">
      <alignment horizontal="right" vertical="top" wrapText="1"/>
    </xf>
    <xf numFmtId="4" fontId="9" fillId="2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top" wrapText="1"/>
    </xf>
    <xf numFmtId="0" fontId="5" fillId="0" borderId="4" xfId="0" applyFont="1" applyBorder="1" applyAlignment="1"/>
    <xf numFmtId="0" fontId="19" fillId="6" borderId="4" xfId="0" applyFont="1" applyFill="1" applyBorder="1" applyAlignment="1">
      <alignment horizontal="center" vertical="top" wrapText="1"/>
    </xf>
    <xf numFmtId="0" fontId="19" fillId="6" borderId="1" xfId="0" applyFont="1" applyFill="1" applyBorder="1" applyAlignment="1">
      <alignment horizontal="center" vertical="top" wrapText="1"/>
    </xf>
    <xf numFmtId="4" fontId="0" fillId="6" borderId="1" xfId="0" applyNumberFormat="1" applyFont="1" applyFill="1" applyBorder="1" applyAlignment="1">
      <alignment horizontal="right" vertical="top" wrapText="1"/>
    </xf>
    <xf numFmtId="4" fontId="0" fillId="6" borderId="8" xfId="0" applyNumberFormat="1" applyFont="1" applyFill="1" applyBorder="1" applyAlignment="1">
      <alignment horizontal="right" vertical="top" wrapText="1"/>
    </xf>
    <xf numFmtId="4" fontId="0" fillId="6" borderId="6" xfId="0" applyNumberFormat="1" applyFont="1" applyFill="1" applyBorder="1" applyAlignment="1">
      <alignment horizontal="right" vertical="top" wrapText="1"/>
    </xf>
    <xf numFmtId="4" fontId="2" fillId="6" borderId="8" xfId="0" applyNumberFormat="1" applyFont="1" applyFill="1" applyBorder="1" applyAlignment="1">
      <alignment horizontal="right" vertical="top" wrapText="1"/>
    </xf>
    <xf numFmtId="4" fontId="0" fillId="6" borderId="6" xfId="0" applyNumberFormat="1" applyFill="1" applyBorder="1" applyAlignment="1">
      <alignment horizontal="right" vertical="top" wrapText="1"/>
    </xf>
    <xf numFmtId="4" fontId="9" fillId="6" borderId="11" xfId="0" applyNumberFormat="1" applyFont="1" applyFill="1" applyBorder="1" applyAlignment="1">
      <alignment horizontal="right"/>
    </xf>
    <xf numFmtId="4" fontId="0" fillId="6" borderId="2" xfId="0" applyNumberFormat="1" applyFont="1" applyFill="1" applyBorder="1" applyAlignment="1">
      <alignment horizontal="right" vertical="top" wrapText="1"/>
    </xf>
    <xf numFmtId="4" fontId="0" fillId="6" borderId="11" xfId="0" applyNumberFormat="1" applyFont="1" applyFill="1" applyBorder="1" applyAlignment="1">
      <alignment horizontal="right" vertical="top" wrapText="1"/>
    </xf>
    <xf numFmtId="4" fontId="56" fillId="6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4" fontId="35" fillId="2" borderId="6" xfId="0" applyNumberFormat="1" applyFont="1" applyFill="1" applyBorder="1" applyAlignment="1">
      <alignment horizontal="right" vertical="top" wrapText="1"/>
    </xf>
    <xf numFmtId="4" fontId="30" fillId="2" borderId="3" xfId="0" applyNumberFormat="1" applyFont="1" applyFill="1" applyBorder="1" applyAlignment="1">
      <alignment horizontal="right" vertical="center" wrapText="1"/>
    </xf>
    <xf numFmtId="4" fontId="35" fillId="2" borderId="3" xfId="0" applyNumberFormat="1" applyFont="1" applyFill="1" applyBorder="1" applyAlignment="1">
      <alignment horizontal="right" vertical="center" wrapText="1"/>
    </xf>
    <xf numFmtId="4" fontId="30" fillId="2" borderId="6" xfId="0" applyNumberFormat="1" applyFont="1" applyFill="1" applyBorder="1" applyAlignment="1">
      <alignment horizontal="right" vertical="center" wrapText="1"/>
    </xf>
    <xf numFmtId="4" fontId="30" fillId="2" borderId="12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5" fillId="2" borderId="0" xfId="0" applyFont="1" applyFill="1" applyBorder="1" applyAlignment="1">
      <alignment horizontal="center"/>
    </xf>
    <xf numFmtId="0" fontId="35" fillId="2" borderId="9" xfId="0" applyFont="1" applyFill="1" applyBorder="1" applyAlignment="1">
      <alignment horizontal="center"/>
    </xf>
    <xf numFmtId="4" fontId="30" fillId="3" borderId="1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top" wrapText="1"/>
    </xf>
    <xf numFmtId="2" fontId="30" fillId="2" borderId="8" xfId="0" applyNumberFormat="1" applyFont="1" applyFill="1" applyBorder="1" applyAlignment="1">
      <alignment horizontal="center"/>
    </xf>
    <xf numFmtId="2" fontId="30" fillId="3" borderId="8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top" wrapText="1"/>
    </xf>
    <xf numFmtId="4" fontId="30" fillId="3" borderId="3" xfId="0" applyNumberFormat="1" applyFont="1" applyFill="1" applyBorder="1" applyAlignment="1">
      <alignment horizontal="right" vertical="top" wrapText="1"/>
    </xf>
    <xf numFmtId="2" fontId="56" fillId="3" borderId="1" xfId="0" applyNumberFormat="1" applyFont="1" applyFill="1" applyBorder="1" applyAlignment="1">
      <alignment horizontal="right"/>
    </xf>
    <xf numFmtId="4" fontId="56" fillId="2" borderId="6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/>
    </xf>
    <xf numFmtId="2" fontId="41" fillId="0" borderId="0" xfId="0" applyNumberFormat="1" applyFont="1" applyBorder="1"/>
    <xf numFmtId="0" fontId="41" fillId="0" borderId="0" xfId="0" applyFont="1" applyBorder="1"/>
    <xf numFmtId="4" fontId="9" fillId="2" borderId="1" xfId="0" applyNumberFormat="1" applyFont="1" applyFill="1" applyBorder="1" applyAlignment="1">
      <alignment horizontal="center" vertical="center" wrapText="1"/>
    </xf>
    <xf numFmtId="2" fontId="9" fillId="8" borderId="8" xfId="0" applyNumberFormat="1" applyFont="1" applyFill="1" applyBorder="1" applyAlignment="1">
      <alignment horizontal="center"/>
    </xf>
    <xf numFmtId="4" fontId="30" fillId="0" borderId="1" xfId="0" applyNumberFormat="1" applyFont="1" applyBorder="1" applyAlignment="1"/>
    <xf numFmtId="0" fontId="30" fillId="0" borderId="1" xfId="0" applyFont="1" applyBorder="1" applyAlignment="1"/>
    <xf numFmtId="0" fontId="2" fillId="0" borderId="0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4" fontId="56" fillId="0" borderId="1" xfId="0" applyNumberFormat="1" applyFont="1" applyBorder="1" applyAlignment="1"/>
    <xf numFmtId="0" fontId="21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2" fontId="49" fillId="2" borderId="1" xfId="0" applyNumberFormat="1" applyFont="1" applyFill="1" applyBorder="1" applyAlignment="1">
      <alignment horizontal="right"/>
    </xf>
    <xf numFmtId="4" fontId="49" fillId="2" borderId="1" xfId="0" applyNumberFormat="1" applyFont="1" applyFill="1" applyBorder="1" applyAlignment="1">
      <alignment horizontal="right"/>
    </xf>
    <xf numFmtId="0" fontId="8" fillId="0" borderId="10" xfId="0" applyFont="1" applyBorder="1" applyAlignment="1">
      <alignment vertical="top" wrapText="1"/>
    </xf>
    <xf numFmtId="0" fontId="54" fillId="0" borderId="4" xfId="0" applyFont="1" applyBorder="1" applyAlignment="1">
      <alignment horizontal="right" vertical="top" wrapText="1"/>
    </xf>
    <xf numFmtId="0" fontId="54" fillId="0" borderId="1" xfId="0" applyFont="1" applyBorder="1" applyAlignment="1">
      <alignment horizontal="right" vertical="top" wrapText="1"/>
    </xf>
    <xf numFmtId="0" fontId="29" fillId="0" borderId="1" xfId="0" applyFont="1" applyBorder="1" applyAlignment="1"/>
    <xf numFmtId="0" fontId="30" fillId="6" borderId="1" xfId="0" applyFont="1" applyFill="1" applyBorder="1" applyAlignment="1">
      <alignment horizontal="center"/>
    </xf>
    <xf numFmtId="2" fontId="9" fillId="6" borderId="8" xfId="0" applyNumberFormat="1" applyFont="1" applyFill="1" applyBorder="1" applyAlignment="1">
      <alignment horizontal="center"/>
    </xf>
    <xf numFmtId="14" fontId="37" fillId="2" borderId="2" xfId="0" applyNumberFormat="1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right"/>
    </xf>
    <xf numFmtId="0" fontId="42" fillId="0" borderId="0" xfId="0" applyFont="1" applyAlignment="1"/>
    <xf numFmtId="4" fontId="43" fillId="0" borderId="0" xfId="0" applyNumberFormat="1" applyFont="1" applyAlignment="1">
      <alignment horizontal="right"/>
    </xf>
    <xf numFmtId="4" fontId="0" fillId="0" borderId="0" xfId="0" applyNumberFormat="1" applyAlignment="1"/>
    <xf numFmtId="0" fontId="43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4" fontId="42" fillId="4" borderId="0" xfId="0" applyNumberFormat="1" applyFont="1" applyFill="1" applyAlignment="1"/>
    <xf numFmtId="4" fontId="56" fillId="3" borderId="3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6" fillId="0" borderId="21" xfId="0" applyFont="1" applyBorder="1" applyAlignment="1"/>
    <xf numFmtId="0" fontId="6" fillId="0" borderId="0" xfId="0" applyFont="1" applyAlignment="1"/>
    <xf numFmtId="0" fontId="23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4" fontId="49" fillId="0" borderId="1" xfId="0" applyNumberFormat="1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2" fontId="49" fillId="0" borderId="1" xfId="0" applyNumberFormat="1" applyFont="1" applyBorder="1" applyAlignment="1">
      <alignment horizontal="right"/>
    </xf>
    <xf numFmtId="4" fontId="23" fillId="2" borderId="1" xfId="0" applyNumberFormat="1" applyFont="1" applyFill="1" applyBorder="1" applyAlignment="1">
      <alignment horizontal="right"/>
    </xf>
    <xf numFmtId="0" fontId="21" fillId="0" borderId="1" xfId="0" applyFont="1" applyBorder="1" applyAlignment="1">
      <alignment vertical="center" wrapText="1"/>
    </xf>
    <xf numFmtId="0" fontId="15" fillId="0" borderId="1" xfId="0" applyFont="1" applyBorder="1" applyAlignment="1"/>
    <xf numFmtId="0" fontId="61" fillId="0" borderId="1" xfId="0" applyFont="1" applyBorder="1" applyAlignment="1">
      <alignment horizontal="right"/>
    </xf>
    <xf numFmtId="0" fontId="62" fillId="0" borderId="1" xfId="0" applyFont="1" applyBorder="1" applyAlignment="1"/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2" fontId="28" fillId="2" borderId="8" xfId="0" applyNumberFormat="1" applyFont="1" applyFill="1" applyBorder="1" applyAlignment="1">
      <alignment horizontal="right"/>
    </xf>
    <xf numFmtId="0" fontId="9" fillId="0" borderId="1" xfId="0" applyFont="1" applyBorder="1" applyAlignment="1"/>
    <xf numFmtId="0" fontId="5" fillId="0" borderId="1" xfId="0" applyFont="1" applyBorder="1" applyAlignment="1"/>
    <xf numFmtId="0" fontId="17" fillId="0" borderId="0" xfId="0" applyFont="1"/>
    <xf numFmtId="4" fontId="9" fillId="0" borderId="1" xfId="0" applyNumberFormat="1" applyFont="1" applyBorder="1" applyAlignment="1"/>
    <xf numFmtId="4" fontId="17" fillId="0" borderId="1" xfId="0" applyNumberFormat="1" applyFont="1" applyBorder="1"/>
    <xf numFmtId="4" fontId="17" fillId="0" borderId="1" xfId="0" applyNumberFormat="1" applyFont="1" applyBorder="1" applyAlignment="1"/>
    <xf numFmtId="4" fontId="4" fillId="0" borderId="1" xfId="0" applyNumberFormat="1" applyFont="1" applyBorder="1" applyAlignment="1"/>
    <xf numFmtId="4" fontId="49" fillId="2" borderId="1" xfId="0" applyNumberFormat="1" applyFont="1" applyFill="1" applyBorder="1" applyAlignment="1">
      <alignment horizontal="right" vertical="top"/>
    </xf>
    <xf numFmtId="4" fontId="2" fillId="2" borderId="12" xfId="0" applyNumberFormat="1" applyFont="1" applyFill="1" applyBorder="1" applyAlignment="1">
      <alignment horizontal="right" vertical="top"/>
    </xf>
    <xf numFmtId="4" fontId="64" fillId="0" borderId="1" xfId="0" applyNumberFormat="1" applyFont="1" applyBorder="1" applyAlignment="1"/>
    <xf numFmtId="4" fontId="56" fillId="0" borderId="15" xfId="0" applyNumberFormat="1" applyFont="1" applyBorder="1" applyAlignment="1">
      <alignment vertical="top" wrapText="1"/>
    </xf>
    <xf numFmtId="4" fontId="56" fillId="0" borderId="1" xfId="0" applyNumberFormat="1" applyFont="1" applyBorder="1" applyAlignment="1">
      <alignment vertical="top" wrapText="1"/>
    </xf>
    <xf numFmtId="0" fontId="8" fillId="6" borderId="1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/>
    </xf>
    <xf numFmtId="4" fontId="28" fillId="6" borderId="13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9" fillId="2" borderId="18" xfId="0" applyNumberFormat="1" applyFont="1" applyFill="1" applyBorder="1" applyAlignment="1">
      <alignment horizontal="center"/>
    </xf>
    <xf numFmtId="4" fontId="23" fillId="2" borderId="18" xfId="0" applyNumberFormat="1" applyFont="1" applyFill="1" applyBorder="1" applyAlignment="1">
      <alignment horizontal="center"/>
    </xf>
    <xf numFmtId="4" fontId="23" fillId="2" borderId="16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9" fillId="0" borderId="3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2" fontId="23" fillId="2" borderId="1" xfId="0" applyNumberFormat="1" applyFont="1" applyFill="1" applyBorder="1" applyAlignment="1">
      <alignment horizontal="right"/>
    </xf>
    <xf numFmtId="4" fontId="51" fillId="2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top" wrapText="1"/>
    </xf>
    <xf numFmtId="0" fontId="2" fillId="0" borderId="21" xfId="0" applyFont="1" applyBorder="1" applyAlignment="1"/>
    <xf numFmtId="4" fontId="4" fillId="0" borderId="6" xfId="0" applyNumberFormat="1" applyFont="1" applyBorder="1" applyAlignment="1">
      <alignment horizontal="right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8" fillId="2" borderId="6" xfId="0" applyNumberFormat="1" applyFont="1" applyFill="1" applyBorder="1" applyAlignment="1">
      <alignment horizontal="right"/>
    </xf>
    <xf numFmtId="0" fontId="8" fillId="7" borderId="11" xfId="0" applyFont="1" applyFill="1" applyBorder="1" applyAlignment="1">
      <alignment vertical="top" wrapText="1"/>
    </xf>
    <xf numFmtId="0" fontId="8" fillId="7" borderId="21" xfId="0" applyFont="1" applyFill="1" applyBorder="1" applyAlignment="1">
      <alignment vertical="top" wrapText="1"/>
    </xf>
    <xf numFmtId="0" fontId="8" fillId="7" borderId="10" xfId="0" applyFont="1" applyFill="1" applyBorder="1" applyAlignment="1">
      <alignment vertical="top" wrapText="1"/>
    </xf>
    <xf numFmtId="0" fontId="8" fillId="7" borderId="6" xfId="0" applyFont="1" applyFill="1" applyBorder="1" applyAlignment="1">
      <alignment vertical="top" wrapText="1"/>
    </xf>
    <xf numFmtId="0" fontId="8" fillId="7" borderId="23" xfId="0" applyFont="1" applyFill="1" applyBorder="1" applyAlignment="1">
      <alignment vertical="top" wrapText="1"/>
    </xf>
    <xf numFmtId="0" fontId="8" fillId="7" borderId="15" xfId="0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top"/>
    </xf>
    <xf numFmtId="0" fontId="8" fillId="7" borderId="1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top"/>
    </xf>
    <xf numFmtId="4" fontId="56" fillId="2" borderId="1" xfId="0" applyNumberFormat="1" applyFont="1" applyFill="1" applyBorder="1" applyAlignment="1">
      <alignment horizontal="right" vertical="top"/>
    </xf>
    <xf numFmtId="0" fontId="19" fillId="0" borderId="1" xfId="0" applyFont="1" applyBorder="1" applyAlignment="1">
      <alignment horizontal="center" vertical="top" wrapText="1"/>
    </xf>
    <xf numFmtId="4" fontId="0" fillId="0" borderId="0" xfId="0" applyNumberFormat="1" applyBorder="1" applyAlignment="1"/>
    <xf numFmtId="4" fontId="23" fillId="0" borderId="0" xfId="0" applyNumberFormat="1" applyFont="1" applyAlignment="1"/>
    <xf numFmtId="4" fontId="4" fillId="2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51" fillId="0" borderId="4" xfId="0" applyFont="1" applyBorder="1" applyAlignment="1">
      <alignment horizontal="right" vertical="top" wrapText="1"/>
    </xf>
    <xf numFmtId="0" fontId="51" fillId="0" borderId="1" xfId="0" applyFont="1" applyBorder="1" applyAlignment="1">
      <alignment horizontal="right" vertical="top" wrapText="1"/>
    </xf>
    <xf numFmtId="0" fontId="15" fillId="0" borderId="19" xfId="0" applyFont="1" applyBorder="1" applyAlignment="1"/>
    <xf numFmtId="0" fontId="0" fillId="9" borderId="0" xfId="0" applyFill="1"/>
    <xf numFmtId="0" fontId="3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65" fillId="0" borderId="1" xfId="0" applyFont="1" applyBorder="1" applyAlignment="1">
      <alignment horizontal="right"/>
    </xf>
    <xf numFmtId="2" fontId="65" fillId="0" borderId="1" xfId="0" applyNumberFormat="1" applyFont="1" applyBorder="1" applyAlignment="1">
      <alignment horizontal="right"/>
    </xf>
    <xf numFmtId="2" fontId="65" fillId="0" borderId="6" xfId="0" applyNumberFormat="1" applyFont="1" applyBorder="1" applyAlignment="1">
      <alignment horizontal="right"/>
    </xf>
    <xf numFmtId="4" fontId="65" fillId="0" borderId="6" xfId="0" applyNumberFormat="1" applyFont="1" applyBorder="1" applyAlignment="1">
      <alignment horizontal="right"/>
    </xf>
    <xf numFmtId="4" fontId="4" fillId="6" borderId="6" xfId="0" applyNumberFormat="1" applyFont="1" applyFill="1" applyBorder="1" applyAlignment="1">
      <alignment horizontal="right"/>
    </xf>
    <xf numFmtId="4" fontId="65" fillId="2" borderId="6" xfId="0" applyNumberFormat="1" applyFont="1" applyFill="1" applyBorder="1" applyAlignment="1">
      <alignment horizontal="right"/>
    </xf>
    <xf numFmtId="4" fontId="65" fillId="2" borderId="1" xfId="0" applyNumberFormat="1" applyFont="1" applyFill="1" applyBorder="1" applyAlignment="1">
      <alignment horizontal="right"/>
    </xf>
    <xf numFmtId="4" fontId="65" fillId="2" borderId="8" xfId="0" applyNumberFormat="1" applyFont="1" applyFill="1" applyBorder="1" applyAlignment="1">
      <alignment horizontal="right"/>
    </xf>
    <xf numFmtId="4" fontId="56" fillId="2" borderId="8" xfId="0" applyNumberFormat="1" applyFont="1" applyFill="1" applyBorder="1" applyAlignment="1">
      <alignment horizontal="right"/>
    </xf>
    <xf numFmtId="4" fontId="56" fillId="2" borderId="3" xfId="0" applyNumberFormat="1" applyFont="1" applyFill="1" applyBorder="1" applyAlignment="1">
      <alignment horizontal="right"/>
    </xf>
    <xf numFmtId="4" fontId="4" fillId="2" borderId="6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right" vertical="top" wrapText="1"/>
    </xf>
    <xf numFmtId="4" fontId="30" fillId="4" borderId="1" xfId="0" applyNumberFormat="1" applyFont="1" applyFill="1" applyBorder="1" applyAlignment="1"/>
    <xf numFmtId="4" fontId="4" fillId="4" borderId="1" xfId="0" applyNumberFormat="1" applyFont="1" applyFill="1" applyBorder="1" applyAlignment="1">
      <alignment horizontal="right"/>
    </xf>
    <xf numFmtId="4" fontId="23" fillId="0" borderId="1" xfId="0" applyNumberFormat="1" applyFont="1" applyBorder="1" applyAlignment="1">
      <alignment horizontal="right" wrapText="1"/>
    </xf>
    <xf numFmtId="0" fontId="33" fillId="0" borderId="4" xfId="0" applyFont="1" applyBorder="1" applyAlignment="1">
      <alignment horizontal="right" vertical="top" wrapText="1"/>
    </xf>
    <xf numFmtId="0" fontId="33" fillId="0" borderId="1" xfId="0" applyFont="1" applyBorder="1" applyAlignment="1">
      <alignment horizontal="right" vertical="top" wrapText="1"/>
    </xf>
    <xf numFmtId="0" fontId="33" fillId="3" borderId="4" xfId="0" applyFont="1" applyFill="1" applyBorder="1" applyAlignment="1">
      <alignment horizontal="right" vertical="top" wrapText="1"/>
    </xf>
    <xf numFmtId="0" fontId="33" fillId="3" borderId="1" xfId="0" applyFont="1" applyFill="1" applyBorder="1" applyAlignment="1">
      <alignment horizontal="right" vertical="top" wrapText="1"/>
    </xf>
    <xf numFmtId="4" fontId="23" fillId="2" borderId="1" xfId="0" applyNumberFormat="1" applyFont="1" applyFill="1" applyBorder="1" applyAlignment="1">
      <alignment horizontal="right" wrapText="1"/>
    </xf>
    <xf numFmtId="0" fontId="49" fillId="0" borderId="1" xfId="0" applyFont="1" applyBorder="1" applyAlignment="1">
      <alignment horizontal="left"/>
    </xf>
    <xf numFmtId="4" fontId="0" fillId="0" borderId="21" xfId="0" applyNumberFormat="1" applyBorder="1" applyAlignment="1"/>
    <xf numFmtId="2" fontId="23" fillId="0" borderId="1" xfId="0" applyNumberFormat="1" applyFont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15" fillId="2" borderId="1" xfId="0" applyFont="1" applyFill="1" applyBorder="1" applyAlignment="1"/>
    <xf numFmtId="0" fontId="0" fillId="2" borderId="1" xfId="0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right"/>
    </xf>
    <xf numFmtId="0" fontId="49" fillId="0" borderId="1" xfId="0" applyFont="1" applyBorder="1"/>
    <xf numFmtId="4" fontId="62" fillId="2" borderId="1" xfId="0" applyNumberFormat="1" applyFont="1" applyFill="1" applyBorder="1" applyAlignment="1"/>
    <xf numFmtId="4" fontId="61" fillId="2" borderId="1" xfId="0" applyNumberFormat="1" applyFont="1" applyFill="1" applyBorder="1" applyAlignment="1">
      <alignment horizontal="right"/>
    </xf>
    <xf numFmtId="4" fontId="51" fillId="2" borderId="1" xfId="0" applyNumberFormat="1" applyFont="1" applyFill="1" applyBorder="1"/>
    <xf numFmtId="0" fontId="0" fillId="0" borderId="21" xfId="0" applyBorder="1" applyAlignment="1"/>
    <xf numFmtId="0" fontId="0" fillId="0" borderId="10" xfId="0" applyBorder="1" applyAlignment="1"/>
    <xf numFmtId="4" fontId="23" fillId="0" borderId="1" xfId="0" applyNumberFormat="1" applyFont="1" applyBorder="1" applyAlignment="1"/>
    <xf numFmtId="4" fontId="15" fillId="0" borderId="1" xfId="0" applyNumberFormat="1" applyFont="1" applyBorder="1" applyAlignment="1"/>
    <xf numFmtId="4" fontId="62" fillId="0" borderId="1" xfId="0" applyNumberFormat="1" applyFont="1" applyBorder="1" applyAlignment="1"/>
    <xf numFmtId="4" fontId="66" fillId="0" borderId="1" xfId="0" applyNumberFormat="1" applyFont="1" applyBorder="1" applyAlignment="1"/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19" fillId="2" borderId="3" xfId="0" applyFont="1" applyFill="1" applyBorder="1" applyAlignment="1">
      <alignment vertical="top" wrapText="1"/>
    </xf>
    <xf numFmtId="4" fontId="56" fillId="0" borderId="1" xfId="0" applyNumberFormat="1" applyFont="1" applyFill="1" applyBorder="1" applyAlignment="1">
      <alignment horizontal="right" vertical="top" wrapText="1"/>
    </xf>
    <xf numFmtId="4" fontId="56" fillId="0" borderId="0" xfId="0" applyNumberFormat="1" applyFont="1" applyBorder="1" applyAlignment="1"/>
    <xf numFmtId="4" fontId="56" fillId="2" borderId="1" xfId="0" applyNumberFormat="1" applyFon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/>
    </xf>
    <xf numFmtId="4" fontId="62" fillId="4" borderId="1" xfId="0" applyNumberFormat="1" applyFont="1" applyFill="1" applyBorder="1" applyAlignment="1"/>
    <xf numFmtId="4" fontId="63" fillId="4" borderId="1" xfId="0" applyNumberFormat="1" applyFont="1" applyFill="1" applyBorder="1" applyAlignment="1">
      <alignment horizontal="right"/>
    </xf>
    <xf numFmtId="4" fontId="30" fillId="4" borderId="1" xfId="0" applyNumberFormat="1" applyFont="1" applyFill="1" applyBorder="1" applyAlignment="1">
      <alignment horizontal="right" vertical="top" wrapText="1"/>
    </xf>
    <xf numFmtId="4" fontId="56" fillId="4" borderId="1" xfId="0" applyNumberFormat="1" applyFont="1" applyFill="1" applyBorder="1" applyAlignment="1">
      <alignment horizontal="right" vertical="center" wrapText="1"/>
    </xf>
    <xf numFmtId="4" fontId="30" fillId="4" borderId="1" xfId="0" applyNumberFormat="1" applyFont="1" applyFill="1" applyBorder="1" applyAlignment="1">
      <alignment horizontal="center" wrapText="1"/>
    </xf>
    <xf numFmtId="4" fontId="56" fillId="4" borderId="1" xfId="0" applyNumberFormat="1" applyFont="1" applyFill="1" applyBorder="1" applyAlignment="1">
      <alignment horizontal="center" wrapText="1"/>
    </xf>
    <xf numFmtId="4" fontId="30" fillId="4" borderId="1" xfId="0" applyNumberFormat="1" applyFont="1" applyFill="1" applyBorder="1" applyAlignment="1">
      <alignment horizontal="right"/>
    </xf>
    <xf numFmtId="2" fontId="49" fillId="4" borderId="1" xfId="0" applyNumberFormat="1" applyFont="1" applyFill="1" applyBorder="1" applyAlignment="1">
      <alignment horizontal="right"/>
    </xf>
    <xf numFmtId="4" fontId="56" fillId="4" borderId="1" xfId="0" applyNumberFormat="1" applyFont="1" applyFill="1" applyBorder="1" applyAlignment="1">
      <alignment horizontal="right"/>
    </xf>
    <xf numFmtId="0" fontId="54" fillId="7" borderId="1" xfId="0" applyFont="1" applyFill="1" applyBorder="1" applyAlignment="1">
      <alignment vertical="top" wrapText="1"/>
    </xf>
    <xf numFmtId="4" fontId="30" fillId="7" borderId="8" xfId="0" applyNumberFormat="1" applyFont="1" applyFill="1" applyBorder="1" applyAlignment="1">
      <alignment horizontal="right" wrapText="1"/>
    </xf>
    <xf numFmtId="4" fontId="30" fillId="3" borderId="8" xfId="0" applyNumberFormat="1" applyFont="1" applyFill="1" applyBorder="1" applyAlignment="1">
      <alignment horizontal="right" wrapText="1"/>
    </xf>
    <xf numFmtId="4" fontId="26" fillId="4" borderId="1" xfId="0" applyNumberFormat="1" applyFont="1" applyFill="1" applyBorder="1" applyAlignment="1">
      <alignment horizontal="right" wrapText="1"/>
    </xf>
    <xf numFmtId="4" fontId="23" fillId="4" borderId="1" xfId="0" applyNumberFormat="1" applyFont="1" applyFill="1" applyBorder="1" applyAlignment="1">
      <alignment horizontal="right" wrapText="1"/>
    </xf>
    <xf numFmtId="4" fontId="49" fillId="4" borderId="1" xfId="0" applyNumberFormat="1" applyFont="1" applyFill="1" applyBorder="1" applyAlignment="1">
      <alignment horizontal="right" wrapText="1"/>
    </xf>
    <xf numFmtId="4" fontId="30" fillId="4" borderId="3" xfId="0" applyNumberFormat="1" applyFont="1" applyFill="1" applyBorder="1" applyAlignment="1">
      <alignment horizontal="right" vertical="center" wrapText="1"/>
    </xf>
    <xf numFmtId="2" fontId="56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 vertical="top"/>
    </xf>
    <xf numFmtId="4" fontId="30" fillId="4" borderId="1" xfId="0" applyNumberFormat="1" applyFont="1" applyFill="1" applyBorder="1" applyAlignment="1">
      <alignment vertical="top" wrapText="1"/>
    </xf>
    <xf numFmtId="4" fontId="9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4" fontId="9" fillId="3" borderId="2" xfId="0" applyNumberFormat="1" applyFont="1" applyFill="1" applyBorder="1" applyAlignment="1">
      <alignment horizontal="right"/>
    </xf>
    <xf numFmtId="4" fontId="49" fillId="3" borderId="1" xfId="0" applyNumberFormat="1" applyFont="1" applyFill="1" applyBorder="1" applyAlignment="1">
      <alignment horizontal="right"/>
    </xf>
    <xf numFmtId="4" fontId="4" fillId="3" borderId="3" xfId="0" applyNumberFormat="1" applyFont="1" applyFill="1" applyBorder="1"/>
    <xf numFmtId="0" fontId="7" fillId="3" borderId="1" xfId="0" applyFont="1" applyFill="1" applyBorder="1"/>
    <xf numFmtId="0" fontId="0" fillId="3" borderId="0" xfId="0" applyFill="1"/>
    <xf numFmtId="0" fontId="0" fillId="3" borderId="0" xfId="0" applyFill="1" applyAlignment="1"/>
    <xf numFmtId="0" fontId="21" fillId="3" borderId="4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/>
    </xf>
    <xf numFmtId="4" fontId="49" fillId="3" borderId="18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right" vertical="top"/>
    </xf>
    <xf numFmtId="4" fontId="4" fillId="4" borderId="3" xfId="0" applyNumberFormat="1" applyFont="1" applyFill="1" applyBorder="1"/>
    <xf numFmtId="0" fontId="0" fillId="4" borderId="1" xfId="0" applyFill="1" applyBorder="1"/>
    <xf numFmtId="0" fontId="0" fillId="4" borderId="0" xfId="0" applyFill="1"/>
    <xf numFmtId="0" fontId="0" fillId="4" borderId="0" xfId="0" applyFill="1" applyAlignment="1"/>
    <xf numFmtId="4" fontId="2" fillId="4" borderId="1" xfId="0" applyNumberFormat="1" applyFont="1" applyFill="1" applyBorder="1" applyAlignment="1">
      <alignment horizontal="center" vertical="top"/>
    </xf>
    <xf numFmtId="4" fontId="49" fillId="4" borderId="18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0" fillId="10" borderId="0" xfId="0" applyFill="1"/>
    <xf numFmtId="0" fontId="0" fillId="10" borderId="1" xfId="0" applyFill="1" applyBorder="1"/>
    <xf numFmtId="4" fontId="2" fillId="2" borderId="1" xfId="0" applyNumberFormat="1" applyFont="1" applyFill="1" applyBorder="1" applyAlignment="1">
      <alignment horizontal="right" vertical="center" wrapText="1"/>
    </xf>
    <xf numFmtId="4" fontId="2" fillId="11" borderId="1" xfId="0" applyNumberFormat="1" applyFont="1" applyFill="1" applyBorder="1" applyAlignment="1">
      <alignment horizontal="right" vertical="center" wrapText="1"/>
    </xf>
    <xf numFmtId="4" fontId="0" fillId="10" borderId="1" xfId="0" applyNumberFormat="1" applyFill="1" applyBorder="1"/>
    <xf numFmtId="4" fontId="0" fillId="4" borderId="1" xfId="0" applyNumberFormat="1" applyFill="1" applyBorder="1"/>
    <xf numFmtId="2" fontId="0" fillId="0" borderId="1" xfId="0" applyNumberFormat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2" fillId="2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/>
    <xf numFmtId="4" fontId="30" fillId="11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 vertical="center"/>
    </xf>
    <xf numFmtId="4" fontId="2" fillId="11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right"/>
    </xf>
    <xf numFmtId="0" fontId="34" fillId="2" borderId="1" xfId="0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28" fillId="11" borderId="1" xfId="0" applyNumberFormat="1" applyFont="1" applyFill="1" applyBorder="1" applyAlignment="1">
      <alignment horizontal="right" vertical="center" wrapText="1"/>
    </xf>
    <xf numFmtId="0" fontId="24" fillId="0" borderId="1" xfId="0" applyFont="1" applyBorder="1"/>
    <xf numFmtId="0" fontId="24" fillId="0" borderId="1" xfId="0" applyFont="1" applyFill="1" applyBorder="1"/>
    <xf numFmtId="2" fontId="0" fillId="2" borderId="1" xfId="0" applyNumberFormat="1" applyFill="1" applyBorder="1"/>
    <xf numFmtId="4" fontId="0" fillId="2" borderId="1" xfId="0" applyNumberFormat="1" applyFill="1" applyBorder="1"/>
    <xf numFmtId="0" fontId="8" fillId="0" borderId="9" xfId="0" applyFont="1" applyBorder="1" applyAlignment="1">
      <alignment vertical="top" wrapText="1"/>
    </xf>
    <xf numFmtId="0" fontId="19" fillId="11" borderId="1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horizontal="center" vertical="top" wrapText="1"/>
    </xf>
    <xf numFmtId="2" fontId="0" fillId="0" borderId="4" xfId="0" applyNumberFormat="1" applyBorder="1" applyAlignment="1">
      <alignment wrapText="1"/>
    </xf>
    <xf numFmtId="0" fontId="0" fillId="0" borderId="4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30" fillId="4" borderId="1" xfId="0" applyNumberFormat="1" applyFont="1" applyFill="1" applyBorder="1" applyAlignment="1">
      <alignment horizontal="right" vertical="center" wrapText="1"/>
    </xf>
    <xf numFmtId="4" fontId="30" fillId="2" borderId="1" xfId="0" applyNumberFormat="1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4" fontId="28" fillId="4" borderId="1" xfId="0" applyNumberFormat="1" applyFont="1" applyFill="1" applyBorder="1" applyAlignment="1">
      <alignment horizontal="right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24" fillId="0" borderId="8" xfId="0" applyFont="1" applyBorder="1"/>
    <xf numFmtId="4" fontId="24" fillId="4" borderId="1" xfId="0" applyNumberFormat="1" applyFont="1" applyFill="1" applyBorder="1"/>
    <xf numFmtId="0" fontId="0" fillId="0" borderId="1" xfId="0" applyFont="1" applyBorder="1"/>
    <xf numFmtId="4" fontId="0" fillId="0" borderId="8" xfId="0" applyNumberFormat="1" applyBorder="1" applyAlignment="1">
      <alignment horizontal="center" vertical="center"/>
    </xf>
    <xf numFmtId="0" fontId="0" fillId="0" borderId="8" xfId="0" applyBorder="1"/>
    <xf numFmtId="4" fontId="24" fillId="0" borderId="8" xfId="0" applyNumberFormat="1" applyFont="1" applyBorder="1"/>
    <xf numFmtId="4" fontId="24" fillId="0" borderId="1" xfId="0" applyNumberFormat="1" applyFont="1" applyBorder="1"/>
    <xf numFmtId="4" fontId="0" fillId="0" borderId="12" xfId="0" applyNumberFormat="1" applyFill="1" applyBorder="1"/>
    <xf numFmtId="0" fontId="0" fillId="6" borderId="1" xfId="0" applyFill="1" applyBorder="1"/>
    <xf numFmtId="0" fontId="0" fillId="0" borderId="4" xfId="0" applyBorder="1"/>
    <xf numFmtId="4" fontId="0" fillId="0" borderId="8" xfId="0" applyNumberFormat="1" applyBorder="1"/>
    <xf numFmtId="0" fontId="0" fillId="6" borderId="8" xfId="0" applyFill="1" applyBorder="1" applyAlignment="1"/>
    <xf numFmtId="0" fontId="0" fillId="6" borderId="8" xfId="0" applyFill="1" applyBorder="1"/>
    <xf numFmtId="4" fontId="0" fillId="2" borderId="0" xfId="0" applyNumberFormat="1" applyFill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24" fillId="6" borderId="1" xfId="0" applyNumberFormat="1" applyFont="1" applyFill="1" applyBorder="1"/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" fontId="0" fillId="0" borderId="7" xfId="0" applyNumberFormat="1" applyBorder="1"/>
    <xf numFmtId="4" fontId="0" fillId="6" borderId="1" xfId="0" applyNumberFormat="1" applyFill="1" applyBorder="1"/>
    <xf numFmtId="2" fontId="0" fillId="0" borderId="1" xfId="0" applyNumberFormat="1" applyFill="1" applyBorder="1"/>
    <xf numFmtId="4" fontId="23" fillId="0" borderId="0" xfId="0" applyNumberFormat="1" applyFont="1" applyBorder="1" applyAlignment="1">
      <alignment horizontal="center" vertical="center"/>
    </xf>
    <xf numFmtId="0" fontId="0" fillId="6" borderId="0" xfId="0" applyFill="1"/>
    <xf numFmtId="2" fontId="0" fillId="0" borderId="0" xfId="0" applyNumberFormat="1" applyFill="1" applyBorder="1"/>
    <xf numFmtId="0" fontId="23" fillId="0" borderId="11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21" fillId="6" borderId="2" xfId="0" applyFont="1" applyFill="1" applyBorder="1" applyAlignment="1">
      <alignment horizontal="center" vertical="top" wrapText="1"/>
    </xf>
    <xf numFmtId="0" fontId="21" fillId="6" borderId="3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0" fontId="34" fillId="3" borderId="8" xfId="0" applyFont="1" applyFill="1" applyBorder="1" applyAlignment="1">
      <alignment horizontal="center" vertical="top" wrapText="1"/>
    </xf>
    <xf numFmtId="0" fontId="34" fillId="3" borderId="4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9" fillId="3" borderId="2" xfId="0" applyFont="1" applyFill="1" applyBorder="1" applyAlignment="1">
      <alignment horizontal="center" vertical="top" wrapText="1"/>
    </xf>
    <xf numFmtId="0" fontId="19" fillId="3" borderId="3" xfId="0" applyFont="1" applyFill="1" applyBorder="1" applyAlignment="1">
      <alignment horizontal="center" vertical="top" wrapText="1"/>
    </xf>
    <xf numFmtId="0" fontId="21" fillId="3" borderId="2" xfId="0" applyFont="1" applyFill="1" applyBorder="1" applyAlignment="1">
      <alignment horizontal="center" vertical="top" wrapText="1"/>
    </xf>
    <xf numFmtId="0" fontId="21" fillId="3" borderId="3" xfId="0" applyFont="1" applyFill="1" applyBorder="1" applyAlignment="1">
      <alignment horizontal="center" vertical="top" wrapText="1"/>
    </xf>
    <xf numFmtId="0" fontId="19" fillId="3" borderId="2" xfId="0" applyNumberFormat="1" applyFont="1" applyFill="1" applyBorder="1" applyAlignment="1">
      <alignment horizontal="center" vertical="top" wrapText="1"/>
    </xf>
    <xf numFmtId="0" fontId="19" fillId="3" borderId="3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9" fillId="3" borderId="2" xfId="0" applyFont="1" applyFill="1" applyBorder="1" applyAlignment="1">
      <alignment horizontal="left" vertical="top" wrapText="1"/>
    </xf>
    <xf numFmtId="0" fontId="19" fillId="3" borderId="3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top" wrapText="1"/>
    </xf>
    <xf numFmtId="0" fontId="19" fillId="2" borderId="3" xfId="0" applyNumberFormat="1" applyFont="1" applyFill="1" applyBorder="1" applyAlignment="1">
      <alignment horizontal="center" vertical="top" wrapText="1"/>
    </xf>
    <xf numFmtId="0" fontId="19" fillId="6" borderId="2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2" borderId="2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3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1" fillId="2" borderId="2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1" fillId="4" borderId="2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4" fontId="34" fillId="0" borderId="2" xfId="0" applyNumberFormat="1" applyFont="1" applyBorder="1" applyAlignment="1">
      <alignment horizontal="center" vertical="top" wrapText="1"/>
    </xf>
    <xf numFmtId="4" fontId="34" fillId="0" borderId="3" xfId="0" applyNumberFormat="1" applyFont="1" applyBorder="1" applyAlignment="1">
      <alignment horizontal="center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21" fillId="0" borderId="15" xfId="0" applyFont="1" applyBorder="1" applyAlignment="1">
      <alignment horizontal="left" vertical="top" wrapText="1"/>
    </xf>
    <xf numFmtId="0" fontId="25" fillId="0" borderId="0" xfId="0" applyFont="1" applyAlignment="1">
      <alignment horizontal="center" wrapText="1"/>
    </xf>
    <xf numFmtId="0" fontId="34" fillId="0" borderId="1" xfId="0" applyFont="1" applyBorder="1" applyAlignment="1">
      <alignment horizontal="right" vertical="top" wrapText="1"/>
    </xf>
    <xf numFmtId="0" fontId="34" fillId="0" borderId="8" xfId="0" applyFont="1" applyBorder="1" applyAlignment="1">
      <alignment horizontal="right" vertical="center" wrapText="1"/>
    </xf>
    <xf numFmtId="0" fontId="34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left" vertical="top" wrapText="1"/>
    </xf>
    <xf numFmtId="0" fontId="34" fillId="4" borderId="3" xfId="0" applyFont="1" applyFill="1" applyBorder="1" applyAlignment="1">
      <alignment horizontal="left" vertical="top" wrapText="1"/>
    </xf>
    <xf numFmtId="0" fontId="53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34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19" fillId="0" borderId="2" xfId="0" applyNumberFormat="1" applyFont="1" applyBorder="1" applyAlignment="1">
      <alignment horizontal="center" vertical="top" wrapText="1"/>
    </xf>
    <xf numFmtId="0" fontId="19" fillId="0" borderId="3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left" vertical="top" wrapText="1"/>
    </xf>
    <xf numFmtId="2" fontId="21" fillId="0" borderId="2" xfId="0" applyNumberFormat="1" applyFont="1" applyBorder="1" applyAlignment="1">
      <alignment horizontal="left" vertical="top" wrapText="1"/>
    </xf>
    <xf numFmtId="2" fontId="21" fillId="0" borderId="3" xfId="0" applyNumberFormat="1" applyFont="1" applyBorder="1" applyAlignment="1">
      <alignment horizontal="left" vertical="top" wrapText="1"/>
    </xf>
    <xf numFmtId="0" fontId="21" fillId="0" borderId="2" xfId="0" applyFont="1" applyFill="1" applyBorder="1" applyAlignment="1">
      <alignment horizontal="right" vertical="top" wrapText="1"/>
    </xf>
    <xf numFmtId="0" fontId="21" fillId="0" borderId="3" xfId="0" applyFont="1" applyFill="1" applyBorder="1" applyAlignment="1">
      <alignment horizontal="right" vertical="top" wrapText="1"/>
    </xf>
    <xf numFmtId="0" fontId="21" fillId="0" borderId="1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19" fillId="4" borderId="1" xfId="0" applyFont="1" applyFill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21" fillId="0" borderId="10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57" fillId="0" borderId="2" xfId="0" applyFont="1" applyBorder="1" applyAlignment="1">
      <alignment horizontal="center" vertical="top" wrapText="1"/>
    </xf>
    <xf numFmtId="0" fontId="57" fillId="0" borderId="3" xfId="0" applyFont="1" applyBorder="1" applyAlignment="1">
      <alignment horizontal="center" vertical="top" wrapText="1"/>
    </xf>
    <xf numFmtId="0" fontId="57" fillId="0" borderId="2" xfId="0" applyFont="1" applyBorder="1" applyAlignment="1">
      <alignment horizontal="left" vertical="top" wrapText="1"/>
    </xf>
    <xf numFmtId="0" fontId="57" fillId="0" borderId="3" xfId="0" applyFont="1" applyBorder="1" applyAlignment="1">
      <alignment horizontal="left" vertical="top" wrapText="1"/>
    </xf>
    <xf numFmtId="0" fontId="57" fillId="4" borderId="2" xfId="0" applyFont="1" applyFill="1" applyBorder="1" applyAlignment="1">
      <alignment horizontal="left" vertical="top" wrapText="1"/>
    </xf>
    <xf numFmtId="0" fontId="57" fillId="4" borderId="3" xfId="0" applyFont="1" applyFill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8" fillId="6" borderId="11" xfId="0" applyFont="1" applyFill="1" applyBorder="1" applyAlignment="1">
      <alignment horizontal="center" vertical="top" wrapText="1"/>
    </xf>
    <xf numFmtId="0" fontId="8" fillId="6" borderId="10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top" wrapText="1"/>
    </xf>
    <xf numFmtId="0" fontId="21" fillId="6" borderId="6" xfId="0" applyFont="1" applyFill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6" borderId="6" xfId="0" applyFont="1" applyFill="1" applyBorder="1" applyAlignment="1">
      <alignment horizontal="center" vertical="top" wrapText="1"/>
    </xf>
    <xf numFmtId="0" fontId="8" fillId="6" borderId="15" xfId="0" applyFont="1" applyFill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center" vertical="top" wrapText="1"/>
    </xf>
    <xf numFmtId="0" fontId="33" fillId="0" borderId="3" xfId="0" applyFont="1" applyBorder="1" applyAlignment="1">
      <alignment horizontal="center" vertical="top" wrapText="1"/>
    </xf>
    <xf numFmtId="0" fontId="33" fillId="0" borderId="11" xfId="0" applyNumberFormat="1" applyFont="1" applyBorder="1" applyAlignment="1">
      <alignment horizontal="center" vertical="top" wrapText="1"/>
    </xf>
    <xf numFmtId="0" fontId="33" fillId="0" borderId="6" xfId="0" applyNumberFormat="1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19" fillId="4" borderId="11" xfId="0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0" fillId="10" borderId="1" xfId="0" applyFill="1" applyBorder="1" applyAlignment="1">
      <alignment horizontal="center"/>
    </xf>
    <xf numFmtId="0" fontId="23" fillId="0" borderId="11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4" fontId="0" fillId="4" borderId="1" xfId="0" applyNumberFormat="1" applyFill="1" applyBorder="1" applyAlignment="1">
      <alignment horizontal="center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60"/>
  <sheetViews>
    <sheetView workbookViewId="0">
      <selection activeCell="H50" sqref="H50"/>
    </sheetView>
  </sheetViews>
  <sheetFormatPr defaultRowHeight="15" x14ac:dyDescent="0.25"/>
  <cols>
    <col min="1" max="1" width="4.140625" customWidth="1"/>
    <col min="2" max="30" width="16.5703125" customWidth="1"/>
    <col min="31" max="31" width="13.140625" customWidth="1"/>
    <col min="32" max="32" width="12.7109375" customWidth="1"/>
    <col min="33" max="33" width="12.140625" customWidth="1"/>
    <col min="34" max="34" width="9.7109375" customWidth="1"/>
    <col min="35" max="35" width="11" customWidth="1"/>
    <col min="36" max="36" width="11.140625" customWidth="1"/>
    <col min="37" max="37" width="10.7109375" customWidth="1"/>
    <col min="38" max="38" width="11.85546875" customWidth="1"/>
    <col min="39" max="39" width="10.28515625" customWidth="1"/>
    <col min="40" max="40" width="11.140625" customWidth="1"/>
    <col min="41" max="41" width="10.28515625" customWidth="1"/>
    <col min="42" max="42" width="11" customWidth="1"/>
    <col min="43" max="43" width="10.85546875" customWidth="1"/>
    <col min="44" max="44" width="10.5703125" customWidth="1"/>
    <col min="45" max="45" width="10.7109375" customWidth="1"/>
    <col min="46" max="46" width="11.7109375" customWidth="1"/>
    <col min="47" max="47" width="12.42578125" customWidth="1"/>
    <col min="48" max="48" width="11" customWidth="1"/>
    <col min="49" max="49" width="9.42578125" customWidth="1"/>
    <col min="50" max="50" width="11.140625" customWidth="1"/>
    <col min="51" max="51" width="10.7109375" customWidth="1"/>
    <col min="52" max="52" width="9.7109375" customWidth="1"/>
    <col min="53" max="53" width="10.28515625" customWidth="1"/>
    <col min="54" max="54" width="10.7109375" customWidth="1"/>
    <col min="55" max="55" width="11" customWidth="1"/>
    <col min="56" max="56" width="12.42578125" customWidth="1"/>
    <col min="57" max="57" width="10.85546875" customWidth="1"/>
    <col min="58" max="58" width="11.28515625" customWidth="1"/>
    <col min="59" max="59" width="10.5703125" customWidth="1"/>
    <col min="60" max="62" width="12.140625" customWidth="1"/>
    <col min="63" max="65" width="12" customWidth="1"/>
    <col min="66" max="66" width="11.7109375" customWidth="1"/>
    <col min="67" max="67" width="12" customWidth="1"/>
    <col min="68" max="69" width="12.140625" customWidth="1"/>
    <col min="70" max="70" width="12.28515625" customWidth="1"/>
    <col min="71" max="71" width="8.7109375" customWidth="1"/>
    <col min="72" max="72" width="10" customWidth="1"/>
    <col min="73" max="73" width="11" customWidth="1"/>
    <col min="74" max="75" width="9.5703125" customWidth="1"/>
    <col min="76" max="76" width="9.85546875" customWidth="1"/>
    <col min="77" max="77" width="10.85546875" customWidth="1"/>
    <col min="78" max="78" width="9.140625" customWidth="1"/>
  </cols>
  <sheetData>
    <row r="1" spans="1:80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BR1" s="111"/>
      <c r="BS1" s="111"/>
      <c r="BT1" s="111"/>
    </row>
    <row r="2" spans="1:80" ht="18.75" x14ac:dyDescent="0.3">
      <c r="B2" s="52" t="s">
        <v>349</v>
      </c>
      <c r="C2" s="52"/>
      <c r="D2" s="52"/>
      <c r="E2" s="52"/>
      <c r="F2" s="52"/>
      <c r="BR2" s="111"/>
      <c r="BS2" s="111"/>
      <c r="BT2" s="111"/>
    </row>
    <row r="3" spans="1:80" ht="18.75" x14ac:dyDescent="0.3">
      <c r="B3" s="146"/>
      <c r="C3" s="147"/>
      <c r="D3" s="147"/>
      <c r="E3" s="147"/>
      <c r="F3" s="147"/>
      <c r="AE3" s="143" t="s">
        <v>449</v>
      </c>
      <c r="AH3" s="143" t="s">
        <v>450</v>
      </c>
      <c r="BB3" s="143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</row>
    <row r="4" spans="1:80" x14ac:dyDescent="0.25"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</row>
    <row r="5" spans="1:80" ht="62.25" customHeight="1" x14ac:dyDescent="0.25">
      <c r="A5" s="858" t="s">
        <v>0</v>
      </c>
      <c r="B5" s="858" t="s">
        <v>130</v>
      </c>
      <c r="C5" s="860" t="s">
        <v>43</v>
      </c>
      <c r="D5" s="860" t="s">
        <v>44</v>
      </c>
      <c r="E5" s="860" t="s">
        <v>45</v>
      </c>
      <c r="F5" s="860" t="s">
        <v>46</v>
      </c>
      <c r="G5" s="860" t="s">
        <v>1</v>
      </c>
      <c r="H5" s="860" t="s">
        <v>181</v>
      </c>
      <c r="I5" s="890" t="s">
        <v>402</v>
      </c>
      <c r="J5" s="891"/>
      <c r="K5" s="865" t="s">
        <v>241</v>
      </c>
      <c r="L5" s="866"/>
      <c r="M5" s="865" t="s">
        <v>182</v>
      </c>
      <c r="N5" s="866"/>
      <c r="O5" s="865" t="s">
        <v>239</v>
      </c>
      <c r="P5" s="866"/>
      <c r="Q5" s="865" t="s">
        <v>225</v>
      </c>
      <c r="R5" s="866"/>
      <c r="S5" s="865" t="s">
        <v>240</v>
      </c>
      <c r="T5" s="866"/>
      <c r="U5" s="865" t="s">
        <v>215</v>
      </c>
      <c r="V5" s="866"/>
      <c r="W5" s="865" t="s">
        <v>350</v>
      </c>
      <c r="X5" s="866"/>
      <c r="Y5" s="865" t="s">
        <v>186</v>
      </c>
      <c r="Z5" s="866"/>
      <c r="AA5" s="865" t="s">
        <v>247</v>
      </c>
      <c r="AB5" s="866"/>
      <c r="AC5" s="865" t="s">
        <v>243</v>
      </c>
      <c r="AD5" s="866"/>
      <c r="AE5" s="867" t="s">
        <v>305</v>
      </c>
      <c r="AF5" s="867"/>
      <c r="AG5" s="868" t="s">
        <v>234</v>
      </c>
      <c r="AH5" s="881" t="s">
        <v>241</v>
      </c>
      <c r="AI5" s="877" t="s">
        <v>242</v>
      </c>
      <c r="AJ5" s="862" t="s">
        <v>224</v>
      </c>
      <c r="AK5" s="862" t="s">
        <v>364</v>
      </c>
      <c r="AL5" s="862" t="s">
        <v>3</v>
      </c>
      <c r="AM5" s="862" t="s">
        <v>249</v>
      </c>
      <c r="AN5" s="873" t="s">
        <v>365</v>
      </c>
      <c r="AO5" s="875" t="s">
        <v>355</v>
      </c>
      <c r="AP5" s="875" t="s">
        <v>363</v>
      </c>
      <c r="AQ5" s="862" t="s">
        <v>250</v>
      </c>
      <c r="AR5" s="877" t="s">
        <v>240</v>
      </c>
      <c r="AS5" s="879" t="s">
        <v>251</v>
      </c>
      <c r="AT5" s="881" t="s">
        <v>189</v>
      </c>
      <c r="AU5" s="877" t="s">
        <v>203</v>
      </c>
      <c r="AV5" s="882" t="s">
        <v>227</v>
      </c>
      <c r="AW5" s="872" t="s">
        <v>356</v>
      </c>
      <c r="AX5" s="870" t="s">
        <v>357</v>
      </c>
      <c r="AY5" s="868" t="s">
        <v>360</v>
      </c>
      <c r="AZ5" s="868" t="s">
        <v>358</v>
      </c>
      <c r="BA5" s="868" t="s">
        <v>359</v>
      </c>
      <c r="BB5" s="870" t="s">
        <v>361</v>
      </c>
      <c r="BC5" s="870" t="s">
        <v>362</v>
      </c>
      <c r="BD5" s="872" t="s">
        <v>367</v>
      </c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</row>
    <row r="6" spans="1:80" ht="55.5" customHeight="1" x14ac:dyDescent="0.25">
      <c r="A6" s="859"/>
      <c r="B6" s="859"/>
      <c r="C6" s="861"/>
      <c r="D6" s="861"/>
      <c r="E6" s="861"/>
      <c r="F6" s="861"/>
      <c r="G6" s="861"/>
      <c r="H6" s="861"/>
      <c r="I6" s="82" t="s">
        <v>4</v>
      </c>
      <c r="J6" s="682" t="s">
        <v>5</v>
      </c>
      <c r="K6" s="82" t="s">
        <v>4</v>
      </c>
      <c r="L6" s="424" t="s">
        <v>5</v>
      </c>
      <c r="M6" s="82" t="s">
        <v>4</v>
      </c>
      <c r="N6" s="424" t="s">
        <v>5</v>
      </c>
      <c r="O6" s="82" t="s">
        <v>4</v>
      </c>
      <c r="P6" s="424" t="s">
        <v>5</v>
      </c>
      <c r="Q6" s="82" t="s">
        <v>4</v>
      </c>
      <c r="R6" s="424" t="s">
        <v>5</v>
      </c>
      <c r="S6" s="82" t="s">
        <v>4</v>
      </c>
      <c r="T6" s="424" t="s">
        <v>5</v>
      </c>
      <c r="U6" s="82" t="s">
        <v>4</v>
      </c>
      <c r="V6" s="440" t="s">
        <v>5</v>
      </c>
      <c r="W6" s="82" t="s">
        <v>4</v>
      </c>
      <c r="X6" s="452" t="s">
        <v>5</v>
      </c>
      <c r="Y6" s="82" t="s">
        <v>4</v>
      </c>
      <c r="Z6" s="657" t="s">
        <v>5</v>
      </c>
      <c r="AA6" s="82" t="s">
        <v>4</v>
      </c>
      <c r="AB6" s="657" t="s">
        <v>5</v>
      </c>
      <c r="AC6" s="82" t="s">
        <v>4</v>
      </c>
      <c r="AD6" s="657" t="s">
        <v>5</v>
      </c>
      <c r="AE6" s="82" t="s">
        <v>4</v>
      </c>
      <c r="AF6" s="424" t="s">
        <v>5</v>
      </c>
      <c r="AG6" s="869"/>
      <c r="AH6" s="881"/>
      <c r="AI6" s="878"/>
      <c r="AJ6" s="863"/>
      <c r="AK6" s="864"/>
      <c r="AL6" s="863"/>
      <c r="AM6" s="863"/>
      <c r="AN6" s="874"/>
      <c r="AO6" s="876"/>
      <c r="AP6" s="876"/>
      <c r="AQ6" s="863"/>
      <c r="AR6" s="878"/>
      <c r="AS6" s="880"/>
      <c r="AT6" s="881"/>
      <c r="AU6" s="864"/>
      <c r="AV6" s="864"/>
      <c r="AW6" s="872"/>
      <c r="AX6" s="871"/>
      <c r="AY6" s="869"/>
      <c r="AZ6" s="869"/>
      <c r="BA6" s="869"/>
      <c r="BB6" s="871"/>
      <c r="BC6" s="871"/>
      <c r="BD6" s="872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</row>
    <row r="7" spans="1:80" s="71" customFormat="1" x14ac:dyDescent="0.25">
      <c r="A7" s="2">
        <v>1</v>
      </c>
      <c r="B7" s="429" t="s">
        <v>6</v>
      </c>
      <c r="C7" s="336">
        <v>1977</v>
      </c>
      <c r="D7" s="336">
        <v>5</v>
      </c>
      <c r="E7" s="285">
        <v>45</v>
      </c>
      <c r="F7" s="337">
        <v>132</v>
      </c>
      <c r="G7" s="338">
        <v>2366.1999999999998</v>
      </c>
      <c r="H7" s="338">
        <v>207.4</v>
      </c>
      <c r="I7" s="338"/>
      <c r="J7" s="338"/>
      <c r="K7" s="286">
        <v>11070</v>
      </c>
      <c r="L7" s="286">
        <v>12612.87</v>
      </c>
      <c r="M7" s="286"/>
      <c r="N7" s="286">
        <v>1625.25</v>
      </c>
      <c r="O7" s="339">
        <v>18941.599999999999</v>
      </c>
      <c r="P7" s="339">
        <v>21174.639999999999</v>
      </c>
      <c r="Q7" s="340"/>
      <c r="R7" s="340">
        <v>720.95</v>
      </c>
      <c r="S7" s="340">
        <v>1386.93</v>
      </c>
      <c r="T7" s="340">
        <v>1511.21</v>
      </c>
      <c r="U7" s="340"/>
      <c r="V7" s="340">
        <v>63.26</v>
      </c>
      <c r="W7" s="340">
        <v>3545.23</v>
      </c>
      <c r="X7" s="340">
        <v>3408.66</v>
      </c>
      <c r="Y7" s="340">
        <v>487367.44</v>
      </c>
      <c r="Z7" s="340">
        <v>449574.37</v>
      </c>
      <c r="AA7" s="340">
        <v>47354</v>
      </c>
      <c r="AB7" s="340">
        <f>Z7-AD7</f>
        <v>43681.918342718971</v>
      </c>
      <c r="AC7" s="340">
        <f>Y7-AA7</f>
        <v>440013.44</v>
      </c>
      <c r="AD7" s="340">
        <f>Z7/Y7*AC7</f>
        <v>405892.45165728102</v>
      </c>
      <c r="AE7" s="340">
        <f>K7+M7+O7+Q7+S7+U7+W7+AC7+I7</f>
        <v>474957.2</v>
      </c>
      <c r="AF7" s="340">
        <f>L7+N7+P7+R7+T7+V7++X7+AD7+I7+J7</f>
        <v>447009.29165728099</v>
      </c>
      <c r="AG7" s="488">
        <f>AH7+AI7+AJ7+AK7+AL7+AM7+AN7+AO7+AP7+AQ7+AR7+AS7+AT7+AU7+AV7+AW7+AX7+AY7+AZ7+BA7+BB7+BC7</f>
        <v>452025.21848413855</v>
      </c>
      <c r="AH7" s="427">
        <v>13523.82</v>
      </c>
      <c r="AI7" s="427">
        <v>13200</v>
      </c>
      <c r="AJ7" s="341">
        <v>1440.42</v>
      </c>
      <c r="AK7" s="341"/>
      <c r="AL7" s="341">
        <v>131942.13</v>
      </c>
      <c r="AM7" s="341">
        <v>45824.76</v>
      </c>
      <c r="AN7" s="341">
        <f>4151.42/23777.9*G7</f>
        <v>413.11848413863288</v>
      </c>
      <c r="AO7" s="663">
        <v>348.45</v>
      </c>
      <c r="AP7" s="248">
        <v>246.03</v>
      </c>
      <c r="AQ7" s="335">
        <v>3697.3</v>
      </c>
      <c r="AR7" s="210">
        <v>784.43</v>
      </c>
      <c r="AS7" s="210">
        <v>6875.19</v>
      </c>
      <c r="AT7" s="210">
        <v>117564.59</v>
      </c>
      <c r="AU7" s="210">
        <v>12527.12</v>
      </c>
      <c r="AV7" s="210">
        <v>6729.42</v>
      </c>
      <c r="AW7" s="341">
        <v>700</v>
      </c>
      <c r="AX7" s="210"/>
      <c r="AY7" s="210">
        <v>562.36</v>
      </c>
      <c r="AZ7" s="210">
        <v>776.55</v>
      </c>
      <c r="BA7" s="226">
        <v>179.2</v>
      </c>
      <c r="BB7" s="460">
        <v>93371.15</v>
      </c>
      <c r="BC7" s="341">
        <v>1319.18</v>
      </c>
      <c r="BD7" s="675">
        <f>AE7-AG7</f>
        <v>22931.981515861466</v>
      </c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</row>
    <row r="8" spans="1:80" s="71" customFormat="1" x14ac:dyDescent="0.25">
      <c r="A8" s="5">
        <v>2</v>
      </c>
      <c r="B8" s="430" t="s">
        <v>7</v>
      </c>
      <c r="C8" s="285">
        <v>1977</v>
      </c>
      <c r="D8" s="285">
        <v>5</v>
      </c>
      <c r="E8" s="285">
        <v>45</v>
      </c>
      <c r="F8" s="337">
        <v>117</v>
      </c>
      <c r="G8" s="286">
        <v>2363.9</v>
      </c>
      <c r="H8" s="286">
        <v>207.4</v>
      </c>
      <c r="I8" s="286"/>
      <c r="J8" s="286"/>
      <c r="K8" s="286">
        <v>17425.04</v>
      </c>
      <c r="L8" s="286">
        <v>18601.09</v>
      </c>
      <c r="M8" s="286"/>
      <c r="N8" s="286">
        <v>573.09</v>
      </c>
      <c r="O8" s="339">
        <v>18912.8</v>
      </c>
      <c r="P8" s="339">
        <v>20000.349999999999</v>
      </c>
      <c r="Q8" s="340"/>
      <c r="R8" s="340">
        <v>270.38</v>
      </c>
      <c r="S8" s="340">
        <v>1386.69</v>
      </c>
      <c r="T8" s="340">
        <v>1439.13</v>
      </c>
      <c r="U8" s="340"/>
      <c r="V8" s="340">
        <v>16.46</v>
      </c>
      <c r="W8" s="340">
        <v>3941.93</v>
      </c>
      <c r="X8" s="340">
        <v>3760.06</v>
      </c>
      <c r="Y8" s="340">
        <v>486153.6</v>
      </c>
      <c r="Z8" s="340">
        <v>423267.78</v>
      </c>
      <c r="AA8" s="340">
        <v>47282</v>
      </c>
      <c r="AB8" s="340">
        <f t="shared" ref="AB8:AB15" si="0">Z8-AD8</f>
        <v>41165.893194990233</v>
      </c>
      <c r="AC8" s="340">
        <f t="shared" ref="AC8:AC15" si="1">Y8-AA8</f>
        <v>438871.6</v>
      </c>
      <c r="AD8" s="340">
        <f t="shared" ref="AD8:AD15" si="2">Z8/Y8*AC8</f>
        <v>382101.8868050098</v>
      </c>
      <c r="AE8" s="340">
        <f t="shared" ref="AE8:AE15" si="3">K8+M8+O8+Q8+S8+U8+W8+AC8+I8</f>
        <v>480538.06</v>
      </c>
      <c r="AF8" s="340">
        <f t="shared" ref="AF8:AF15" si="4">L8+N8+P8+R8+T8+V8++X8+AD8+I8+J8</f>
        <v>426762.44680500979</v>
      </c>
      <c r="AG8" s="488">
        <f t="shared" ref="AG8:AG15" si="5">AH8+AI8+AJ8+AK8+AL8+AM8+AN8+AO8+AP8+AQ8+AR8+AS8+AT8+AU8+AV8+AW8+AX8+AY8+AZ8+BA8+BB8+BC8</f>
        <v>445239.866923614</v>
      </c>
      <c r="AH8" s="427">
        <v>13500</v>
      </c>
      <c r="AI8" s="427">
        <v>6300</v>
      </c>
      <c r="AJ8" s="341">
        <v>1438.23</v>
      </c>
      <c r="AK8" s="341"/>
      <c r="AL8" s="341">
        <v>131741.51999999999</v>
      </c>
      <c r="AM8" s="341">
        <v>45755.07</v>
      </c>
      <c r="AN8" s="341">
        <f t="shared" ref="AN8:AN14" si="6">4151.42/23777.9*G8</f>
        <v>412.71692361394406</v>
      </c>
      <c r="AO8" s="663">
        <v>347.92</v>
      </c>
      <c r="AP8" s="248">
        <v>245.66</v>
      </c>
      <c r="AQ8" s="335">
        <v>4095.13</v>
      </c>
      <c r="AR8" s="210">
        <v>783.28</v>
      </c>
      <c r="AS8" s="210">
        <v>7858.77</v>
      </c>
      <c r="AT8" s="210">
        <v>117385.86</v>
      </c>
      <c r="AU8" s="210">
        <v>12508.08</v>
      </c>
      <c r="AV8" s="210">
        <v>6727</v>
      </c>
      <c r="AW8" s="341"/>
      <c r="AX8" s="210"/>
      <c r="AY8" s="210">
        <v>561.51</v>
      </c>
      <c r="AZ8" s="210">
        <v>775.37</v>
      </c>
      <c r="BA8" s="226">
        <v>178.93</v>
      </c>
      <c r="BB8" s="460">
        <v>93280.98</v>
      </c>
      <c r="BC8" s="341">
        <v>1343.84</v>
      </c>
      <c r="BD8" s="675">
        <f t="shared" ref="BD8:BD15" si="7">AE8-AG8</f>
        <v>35298.193076386</v>
      </c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</row>
    <row r="9" spans="1:80" s="71" customFormat="1" x14ac:dyDescent="0.25">
      <c r="A9" s="5">
        <v>3</v>
      </c>
      <c r="B9" s="430" t="s">
        <v>8</v>
      </c>
      <c r="C9" s="285">
        <v>1986</v>
      </c>
      <c r="D9" s="285">
        <v>3</v>
      </c>
      <c r="E9" s="285">
        <v>24</v>
      </c>
      <c r="F9" s="337">
        <v>83</v>
      </c>
      <c r="G9" s="286">
        <v>1440.6</v>
      </c>
      <c r="H9" s="286">
        <v>174</v>
      </c>
      <c r="I9" s="286"/>
      <c r="J9" s="286"/>
      <c r="K9" s="286">
        <v>8968.75</v>
      </c>
      <c r="L9" s="286">
        <v>10756.65</v>
      </c>
      <c r="M9" s="286"/>
      <c r="N9" s="286">
        <v>1456.59</v>
      </c>
      <c r="O9" s="339">
        <v>11524.8</v>
      </c>
      <c r="P9" s="339">
        <v>13581.98</v>
      </c>
      <c r="Q9" s="340"/>
      <c r="R9" s="340">
        <v>1031.93</v>
      </c>
      <c r="S9" s="340">
        <v>1295.83</v>
      </c>
      <c r="T9" s="340">
        <v>1441.31</v>
      </c>
      <c r="U9" s="340"/>
      <c r="V9" s="340">
        <v>101.59</v>
      </c>
      <c r="W9" s="340">
        <v>2928.7</v>
      </c>
      <c r="X9" s="340">
        <v>2920.41</v>
      </c>
      <c r="Y9" s="340">
        <v>261440</v>
      </c>
      <c r="Z9" s="340">
        <v>249507.20000000001</v>
      </c>
      <c r="AA9" s="340">
        <v>28812</v>
      </c>
      <c r="AB9" s="340">
        <f t="shared" si="0"/>
        <v>27496.94555691554</v>
      </c>
      <c r="AC9" s="340">
        <f t="shared" si="1"/>
        <v>232628</v>
      </c>
      <c r="AD9" s="340">
        <f t="shared" si="2"/>
        <v>222010.25444308447</v>
      </c>
      <c r="AE9" s="340">
        <f t="shared" si="3"/>
        <v>257346.08</v>
      </c>
      <c r="AF9" s="340">
        <f t="shared" si="4"/>
        <v>253300.71444308446</v>
      </c>
      <c r="AG9" s="488">
        <f t="shared" si="5"/>
        <v>260801.43656168124</v>
      </c>
      <c r="AH9" s="427">
        <v>7200</v>
      </c>
      <c r="AI9" s="427">
        <v>7560</v>
      </c>
      <c r="AJ9" s="341">
        <v>876.41</v>
      </c>
      <c r="AK9" s="341"/>
      <c r="AL9" s="341">
        <v>80278.66</v>
      </c>
      <c r="AM9" s="341">
        <v>27881.55</v>
      </c>
      <c r="AN9" s="341">
        <f t="shared" si="6"/>
        <v>251.51656168122497</v>
      </c>
      <c r="AO9" s="663">
        <v>212.01</v>
      </c>
      <c r="AP9" s="248">
        <v>149.69999999999999</v>
      </c>
      <c r="AQ9" s="335">
        <v>3047.13</v>
      </c>
      <c r="AR9" s="210">
        <v>523.72</v>
      </c>
      <c r="AS9" s="210">
        <v>4344.07</v>
      </c>
      <c r="AT9" s="210">
        <v>71530.850000000006</v>
      </c>
      <c r="AU9" s="210">
        <v>7621.99</v>
      </c>
      <c r="AV9" s="210"/>
      <c r="AW9" s="341"/>
      <c r="AX9" s="210"/>
      <c r="AY9" s="210">
        <v>342.16</v>
      </c>
      <c r="AZ9" s="210">
        <v>472.49</v>
      </c>
      <c r="BA9" s="226">
        <v>109.04</v>
      </c>
      <c r="BB9" s="460">
        <v>47364.72</v>
      </c>
      <c r="BC9" s="341">
        <v>1035.42</v>
      </c>
      <c r="BD9" s="675">
        <f t="shared" si="7"/>
        <v>-3455.3565616812557</v>
      </c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</row>
    <row r="10" spans="1:80" s="71" customFormat="1" x14ac:dyDescent="0.25">
      <c r="A10" s="5">
        <v>4</v>
      </c>
      <c r="B10" s="430" t="s">
        <v>9</v>
      </c>
      <c r="C10" s="285">
        <v>1992</v>
      </c>
      <c r="D10" s="285">
        <v>5</v>
      </c>
      <c r="E10" s="285">
        <v>60</v>
      </c>
      <c r="F10" s="337">
        <v>167</v>
      </c>
      <c r="G10" s="286">
        <v>3634.3</v>
      </c>
      <c r="H10" s="286">
        <v>468.3</v>
      </c>
      <c r="I10" s="286"/>
      <c r="J10" s="286"/>
      <c r="K10" s="286">
        <v>15170</v>
      </c>
      <c r="L10" s="286">
        <v>17206.400000000001</v>
      </c>
      <c r="M10" s="286"/>
      <c r="N10" s="286">
        <v>903.58</v>
      </c>
      <c r="O10" s="339">
        <v>29080</v>
      </c>
      <c r="P10" s="339">
        <v>33273.46</v>
      </c>
      <c r="Q10" s="340"/>
      <c r="R10" s="340">
        <v>624.57000000000005</v>
      </c>
      <c r="S10" s="340">
        <v>3487.4</v>
      </c>
      <c r="T10" s="340">
        <v>3846.46</v>
      </c>
      <c r="U10" s="340"/>
      <c r="V10" s="340">
        <v>167.37</v>
      </c>
      <c r="W10" s="340">
        <v>13985.61</v>
      </c>
      <c r="X10" s="340">
        <v>13680.94</v>
      </c>
      <c r="Y10" s="340">
        <v>714205.24</v>
      </c>
      <c r="Z10" s="340">
        <v>682119.99</v>
      </c>
      <c r="AA10" s="340">
        <v>72700</v>
      </c>
      <c r="AB10" s="340">
        <f t="shared" si="0"/>
        <v>69433.995293845772</v>
      </c>
      <c r="AC10" s="340">
        <f t="shared" si="1"/>
        <v>641505.24</v>
      </c>
      <c r="AD10" s="340">
        <f t="shared" si="2"/>
        <v>612685.99470615422</v>
      </c>
      <c r="AE10" s="340">
        <f t="shared" si="3"/>
        <v>703228.25</v>
      </c>
      <c r="AF10" s="340">
        <f t="shared" si="4"/>
        <v>682388.77470615425</v>
      </c>
      <c r="AG10" s="488">
        <f t="shared" si="5"/>
        <v>635074.05800646823</v>
      </c>
      <c r="AH10" s="427"/>
      <c r="AI10" s="427"/>
      <c r="AJ10" s="341">
        <v>2211.39</v>
      </c>
      <c r="AK10" s="341"/>
      <c r="AL10" s="341">
        <v>202563.52</v>
      </c>
      <c r="AM10" s="341">
        <v>70352.19</v>
      </c>
      <c r="AN10" s="341">
        <f t="shared" si="6"/>
        <v>634.51800646819106</v>
      </c>
      <c r="AO10" s="663">
        <v>534.96</v>
      </c>
      <c r="AP10" s="248">
        <v>377.72</v>
      </c>
      <c r="AQ10" s="335">
        <v>14515.39</v>
      </c>
      <c r="AR10" s="210">
        <v>1411.31</v>
      </c>
      <c r="AS10" s="210">
        <v>8882.4500000000007</v>
      </c>
      <c r="AT10" s="210">
        <v>180490.5</v>
      </c>
      <c r="AU10" s="210">
        <v>19232.21</v>
      </c>
      <c r="AV10" s="210">
        <v>6727</v>
      </c>
      <c r="AW10" s="341">
        <v>700</v>
      </c>
      <c r="AX10" s="210">
        <v>2400</v>
      </c>
      <c r="AY10" s="210">
        <v>863.37</v>
      </c>
      <c r="AZ10" s="210">
        <v>1192.2</v>
      </c>
      <c r="BA10" s="226">
        <v>275.12</v>
      </c>
      <c r="BB10" s="460">
        <v>119736.2</v>
      </c>
      <c r="BC10" s="341">
        <v>1974.01</v>
      </c>
      <c r="BD10" s="675">
        <f t="shared" si="7"/>
        <v>68154.191993531771</v>
      </c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</row>
    <row r="11" spans="1:80" s="71" customFormat="1" x14ac:dyDescent="0.25">
      <c r="A11" s="5">
        <v>5</v>
      </c>
      <c r="B11" s="430" t="s">
        <v>11</v>
      </c>
      <c r="C11" s="285">
        <v>1994</v>
      </c>
      <c r="D11" s="285">
        <v>5</v>
      </c>
      <c r="E11" s="285">
        <v>60</v>
      </c>
      <c r="F11" s="337">
        <v>131</v>
      </c>
      <c r="G11" s="286">
        <v>3641.8</v>
      </c>
      <c r="H11" s="286">
        <v>468.3</v>
      </c>
      <c r="I11" s="286"/>
      <c r="J11" s="286"/>
      <c r="K11" s="286"/>
      <c r="L11" s="286"/>
      <c r="M11" s="286"/>
      <c r="N11" s="286">
        <v>2029.43</v>
      </c>
      <c r="O11" s="339">
        <v>29129.599999999999</v>
      </c>
      <c r="P11" s="339">
        <v>33139.64</v>
      </c>
      <c r="Q11" s="340"/>
      <c r="R11" s="340">
        <v>1414.74</v>
      </c>
      <c r="S11" s="340">
        <v>3487.26</v>
      </c>
      <c r="T11" s="340">
        <v>3775.53</v>
      </c>
      <c r="U11" s="340"/>
      <c r="V11" s="340">
        <v>209.02</v>
      </c>
      <c r="W11" s="340">
        <v>18245.63</v>
      </c>
      <c r="X11" s="340">
        <v>17816.560000000001</v>
      </c>
      <c r="Y11" s="340">
        <v>699110.40000000002</v>
      </c>
      <c r="Z11" s="340">
        <v>663295.03</v>
      </c>
      <c r="AA11" s="340">
        <v>72824</v>
      </c>
      <c r="AB11" s="340">
        <f t="shared" si="0"/>
        <v>69093.232291666674</v>
      </c>
      <c r="AC11" s="340">
        <f t="shared" si="1"/>
        <v>626286.4</v>
      </c>
      <c r="AD11" s="340">
        <f t="shared" si="2"/>
        <v>594201.79770833335</v>
      </c>
      <c r="AE11" s="340">
        <f t="shared" si="3"/>
        <v>677148.89</v>
      </c>
      <c r="AF11" s="340">
        <f t="shared" si="4"/>
        <v>652586.7177083334</v>
      </c>
      <c r="AG11" s="488">
        <f t="shared" si="5"/>
        <v>647114.49744296179</v>
      </c>
      <c r="AH11" s="427"/>
      <c r="AI11" s="427">
        <v>7560</v>
      </c>
      <c r="AJ11" s="341">
        <v>2215.16</v>
      </c>
      <c r="AK11" s="341"/>
      <c r="AL11" s="341">
        <v>202909.03</v>
      </c>
      <c r="AM11" s="341">
        <v>70472.23</v>
      </c>
      <c r="AN11" s="341">
        <f t="shared" si="6"/>
        <v>635.82744296174178</v>
      </c>
      <c r="AO11" s="663">
        <v>535.87</v>
      </c>
      <c r="AP11" s="248">
        <v>378.36</v>
      </c>
      <c r="AQ11" s="335">
        <v>18856.89</v>
      </c>
      <c r="AR11" s="210">
        <v>1411.31</v>
      </c>
      <c r="AS11" s="210">
        <v>8485.26</v>
      </c>
      <c r="AT11" s="210">
        <v>180798.35</v>
      </c>
      <c r="AU11" s="210">
        <v>19265.009999999998</v>
      </c>
      <c r="AV11" s="210">
        <v>6727</v>
      </c>
      <c r="AW11" s="341">
        <v>700</v>
      </c>
      <c r="AX11" s="210">
        <v>2400</v>
      </c>
      <c r="AY11" s="210">
        <v>864.84</v>
      </c>
      <c r="AZ11" s="210">
        <v>1194.24</v>
      </c>
      <c r="BA11" s="226">
        <v>275.58999999999997</v>
      </c>
      <c r="BB11" s="460">
        <v>119490.53</v>
      </c>
      <c r="BC11" s="341">
        <v>1939</v>
      </c>
      <c r="BD11" s="675">
        <f t="shared" si="7"/>
        <v>30034.392557038227</v>
      </c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</row>
    <row r="12" spans="1:80" s="71" customFormat="1" x14ac:dyDescent="0.25">
      <c r="A12" s="6">
        <v>6</v>
      </c>
      <c r="B12" s="430" t="s">
        <v>10</v>
      </c>
      <c r="C12" s="285">
        <v>1981</v>
      </c>
      <c r="D12" s="285">
        <v>5</v>
      </c>
      <c r="E12" s="285">
        <v>60</v>
      </c>
      <c r="F12" s="337">
        <v>159</v>
      </c>
      <c r="G12" s="286">
        <v>3289.5</v>
      </c>
      <c r="H12" s="286">
        <v>397</v>
      </c>
      <c r="I12" s="286">
        <v>20509.79</v>
      </c>
      <c r="J12" s="286">
        <v>16427.28</v>
      </c>
      <c r="K12" s="286">
        <v>18450.169999999998</v>
      </c>
      <c r="L12" s="286">
        <v>20687.95</v>
      </c>
      <c r="M12" s="286"/>
      <c r="N12" s="286">
        <v>676.61</v>
      </c>
      <c r="O12" s="339">
        <v>26336.799999999999</v>
      </c>
      <c r="P12" s="339">
        <v>29764.44</v>
      </c>
      <c r="Q12" s="340"/>
      <c r="R12" s="340">
        <v>365.34</v>
      </c>
      <c r="S12" s="340">
        <v>2956.74</v>
      </c>
      <c r="T12" s="340">
        <v>3161.85</v>
      </c>
      <c r="U12" s="340"/>
      <c r="V12" s="340">
        <v>44.28</v>
      </c>
      <c r="W12" s="340">
        <v>8326.66</v>
      </c>
      <c r="X12" s="340">
        <v>8208.61</v>
      </c>
      <c r="Y12" s="340">
        <v>666847.99</v>
      </c>
      <c r="Z12" s="340">
        <v>624594.26</v>
      </c>
      <c r="AA12" s="340">
        <v>65842</v>
      </c>
      <c r="AB12" s="340">
        <f t="shared" si="0"/>
        <v>61670.029577385401</v>
      </c>
      <c r="AC12" s="340">
        <f t="shared" si="1"/>
        <v>601005.99</v>
      </c>
      <c r="AD12" s="340">
        <f t="shared" si="2"/>
        <v>562924.23042261461</v>
      </c>
      <c r="AE12" s="340">
        <f t="shared" si="3"/>
        <v>677586.15</v>
      </c>
      <c r="AF12" s="340">
        <f t="shared" si="4"/>
        <v>662770.38042261463</v>
      </c>
      <c r="AG12" s="488">
        <f t="shared" si="5"/>
        <v>663944.26884607156</v>
      </c>
      <c r="AH12" s="427">
        <v>18000</v>
      </c>
      <c r="AI12" s="427">
        <v>18900</v>
      </c>
      <c r="AJ12" s="341">
        <v>2002.78</v>
      </c>
      <c r="AK12" s="341">
        <v>35000</v>
      </c>
      <c r="AL12" s="341">
        <v>183455.13</v>
      </c>
      <c r="AM12" s="341">
        <v>63715.68</v>
      </c>
      <c r="AN12" s="341">
        <f t="shared" si="6"/>
        <v>574.31884607135191</v>
      </c>
      <c r="AO12" s="663">
        <v>484.5</v>
      </c>
      <c r="AP12" s="248">
        <v>342.09</v>
      </c>
      <c r="AQ12" s="335">
        <v>8659.8700000000008</v>
      </c>
      <c r="AR12" s="210">
        <v>1195.77</v>
      </c>
      <c r="AS12" s="210">
        <v>7696.46</v>
      </c>
      <c r="AT12" s="210">
        <v>163464.32000000001</v>
      </c>
      <c r="AU12" s="210">
        <v>17417.990000000002</v>
      </c>
      <c r="AV12" s="210">
        <v>6727</v>
      </c>
      <c r="AW12" s="341">
        <v>700</v>
      </c>
      <c r="AX12" s="210">
        <v>2400</v>
      </c>
      <c r="AY12" s="210">
        <v>781.92</v>
      </c>
      <c r="AZ12" s="210">
        <v>1079.74</v>
      </c>
      <c r="BA12" s="226">
        <v>249.17</v>
      </c>
      <c r="BB12" s="460">
        <v>129116.27</v>
      </c>
      <c r="BC12" s="341">
        <v>1981.26</v>
      </c>
      <c r="BD12" s="675">
        <f t="shared" si="7"/>
        <v>13641.881153928465</v>
      </c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</row>
    <row r="13" spans="1:80" s="71" customFormat="1" x14ac:dyDescent="0.25">
      <c r="A13" s="6">
        <v>7</v>
      </c>
      <c r="B13" s="430" t="s">
        <v>187</v>
      </c>
      <c r="C13" s="693">
        <v>1993</v>
      </c>
      <c r="D13" s="693">
        <v>5</v>
      </c>
      <c r="E13" s="693">
        <v>60</v>
      </c>
      <c r="F13" s="332">
        <v>134</v>
      </c>
      <c r="G13" s="694">
        <v>3681.6</v>
      </c>
      <c r="H13" s="694">
        <v>485</v>
      </c>
      <c r="I13" s="694"/>
      <c r="J13" s="694"/>
      <c r="K13" s="694"/>
      <c r="L13" s="694"/>
      <c r="M13" s="694"/>
      <c r="N13" s="694">
        <v>76.83</v>
      </c>
      <c r="O13" s="695">
        <v>29466.720000000001</v>
      </c>
      <c r="P13" s="695">
        <v>32205.02</v>
      </c>
      <c r="Q13" s="696"/>
      <c r="R13" s="696">
        <v>34.15</v>
      </c>
      <c r="S13" s="696">
        <v>3487.39</v>
      </c>
      <c r="T13" s="696">
        <v>3706.4</v>
      </c>
      <c r="U13" s="696"/>
      <c r="V13" s="696"/>
      <c r="W13" s="696">
        <v>6669.44</v>
      </c>
      <c r="X13" s="696">
        <v>6383.86</v>
      </c>
      <c r="Y13" s="696">
        <v>746627.78</v>
      </c>
      <c r="Z13" s="696">
        <v>699297.51</v>
      </c>
      <c r="AA13" s="696">
        <v>73666.8</v>
      </c>
      <c r="AB13" s="696">
        <f t="shared" si="0"/>
        <v>68996.910093096201</v>
      </c>
      <c r="AC13" s="696">
        <f t="shared" si="1"/>
        <v>672960.98</v>
      </c>
      <c r="AD13" s="696">
        <f t="shared" si="2"/>
        <v>630300.59990690381</v>
      </c>
      <c r="AE13" s="696">
        <f t="shared" si="3"/>
        <v>712584.53</v>
      </c>
      <c r="AF13" s="696">
        <f t="shared" si="4"/>
        <v>672706.85990690382</v>
      </c>
      <c r="AG13" s="697">
        <f t="shared" si="5"/>
        <v>697779.05618595425</v>
      </c>
      <c r="AH13" s="698"/>
      <c r="AI13" s="698">
        <v>8820</v>
      </c>
      <c r="AJ13" s="699">
        <v>2239.59</v>
      </c>
      <c r="AK13" s="699"/>
      <c r="AL13" s="699">
        <v>205145.87</v>
      </c>
      <c r="AM13" s="699">
        <v>71284.7</v>
      </c>
      <c r="AN13" s="699">
        <f t="shared" si="6"/>
        <v>642.77618595418426</v>
      </c>
      <c r="AO13" s="700">
        <v>541.79999999999995</v>
      </c>
      <c r="AP13" s="701">
        <v>382.53</v>
      </c>
      <c r="AQ13" s="656">
        <v>32296.19</v>
      </c>
      <c r="AR13" s="461">
        <v>1355.68</v>
      </c>
      <c r="AS13" s="461">
        <v>16413.25</v>
      </c>
      <c r="AT13" s="461">
        <v>182791.47</v>
      </c>
      <c r="AU13" s="461">
        <v>19477.419999999998</v>
      </c>
      <c r="AV13" s="461">
        <v>6727</v>
      </c>
      <c r="AW13" s="699">
        <v>700</v>
      </c>
      <c r="AX13" s="461"/>
      <c r="AY13" s="461">
        <v>874.37</v>
      </c>
      <c r="AZ13" s="461">
        <v>1207.4000000000001</v>
      </c>
      <c r="BA13" s="702">
        <v>278.64</v>
      </c>
      <c r="BB13" s="703">
        <v>144506.71</v>
      </c>
      <c r="BC13" s="699">
        <v>2093.66</v>
      </c>
      <c r="BD13" s="675">
        <f t="shared" si="7"/>
        <v>14805.473814045778</v>
      </c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</row>
    <row r="14" spans="1:80" s="71" customFormat="1" ht="15" customHeight="1" x14ac:dyDescent="0.25">
      <c r="A14" s="6">
        <v>8</v>
      </c>
      <c r="B14" s="432" t="s">
        <v>226</v>
      </c>
      <c r="C14" s="285"/>
      <c r="D14" s="285"/>
      <c r="E14" s="285"/>
      <c r="F14" s="337"/>
      <c r="G14" s="286">
        <v>3360</v>
      </c>
      <c r="H14" s="286"/>
      <c r="I14" s="286"/>
      <c r="J14" s="286"/>
      <c r="K14" s="286"/>
      <c r="L14" s="286"/>
      <c r="M14" s="286"/>
      <c r="N14" s="286"/>
      <c r="O14" s="339"/>
      <c r="P14" s="339"/>
      <c r="Q14" s="340"/>
      <c r="R14" s="340"/>
      <c r="S14" s="340"/>
      <c r="T14" s="340"/>
      <c r="U14" s="340"/>
      <c r="V14" s="340"/>
      <c r="W14" s="340"/>
      <c r="X14" s="340"/>
      <c r="Y14" s="340">
        <v>950936.79</v>
      </c>
      <c r="Z14" s="340">
        <v>448939.49</v>
      </c>
      <c r="AA14" s="340"/>
      <c r="AB14" s="340">
        <f t="shared" si="0"/>
        <v>0</v>
      </c>
      <c r="AC14" s="340">
        <f t="shared" si="1"/>
        <v>950936.79</v>
      </c>
      <c r="AD14" s="340">
        <f t="shared" si="2"/>
        <v>448939.49</v>
      </c>
      <c r="AE14" s="340">
        <f t="shared" si="3"/>
        <v>950936.79</v>
      </c>
      <c r="AF14" s="340">
        <f t="shared" si="4"/>
        <v>448939.49</v>
      </c>
      <c r="AG14" s="488">
        <f t="shared" si="5"/>
        <v>611735.8975491107</v>
      </c>
      <c r="AH14" s="427"/>
      <c r="AI14" s="427"/>
      <c r="AJ14" s="460">
        <v>2044.09</v>
      </c>
      <c r="AK14" s="427"/>
      <c r="AL14" s="427">
        <v>187238.91</v>
      </c>
      <c r="AM14" s="341">
        <v>64887.73</v>
      </c>
      <c r="AN14" s="341">
        <f t="shared" si="6"/>
        <v>586.62754911072886</v>
      </c>
      <c r="AO14" s="427">
        <v>494.49</v>
      </c>
      <c r="AP14" s="427">
        <v>349.14</v>
      </c>
      <c r="AQ14" s="335"/>
      <c r="AR14" s="341"/>
      <c r="AS14" s="427">
        <v>5728.63</v>
      </c>
      <c r="AT14" s="341">
        <v>166835.76</v>
      </c>
      <c r="AU14" s="341">
        <v>17777.22</v>
      </c>
      <c r="AV14" s="427"/>
      <c r="AW14" s="341"/>
      <c r="AX14" s="427"/>
      <c r="AY14" s="210">
        <v>798.05</v>
      </c>
      <c r="AZ14" s="210">
        <v>1102.01</v>
      </c>
      <c r="BA14" s="226">
        <v>254.31</v>
      </c>
      <c r="BB14" s="427">
        <v>161746.45000000001</v>
      </c>
      <c r="BC14" s="324">
        <v>1892.48</v>
      </c>
      <c r="BD14" s="675">
        <f t="shared" si="7"/>
        <v>339200.89245088934</v>
      </c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</row>
    <row r="15" spans="1:80" s="71" customFormat="1" ht="15" customHeight="1" x14ac:dyDescent="0.25">
      <c r="A15" s="6">
        <v>9</v>
      </c>
      <c r="B15" s="432" t="s">
        <v>351</v>
      </c>
      <c r="C15" s="285"/>
      <c r="D15" s="285"/>
      <c r="E15" s="285"/>
      <c r="F15" s="337"/>
      <c r="G15" s="286"/>
      <c r="H15" s="286"/>
      <c r="I15" s="286"/>
      <c r="J15" s="286"/>
      <c r="K15" s="286"/>
      <c r="L15" s="286"/>
      <c r="M15" s="286"/>
      <c r="N15" s="286"/>
      <c r="O15" s="339"/>
      <c r="P15" s="339"/>
      <c r="Q15" s="340"/>
      <c r="R15" s="340"/>
      <c r="S15" s="340"/>
      <c r="T15" s="340"/>
      <c r="U15" s="340"/>
      <c r="V15" s="340"/>
      <c r="W15" s="340"/>
      <c r="X15" s="340"/>
      <c r="Y15" s="340">
        <v>62614.559999999998</v>
      </c>
      <c r="Z15" s="340"/>
      <c r="AA15" s="340"/>
      <c r="AB15" s="340">
        <f t="shared" si="0"/>
        <v>0</v>
      </c>
      <c r="AC15" s="340">
        <f t="shared" si="1"/>
        <v>62614.559999999998</v>
      </c>
      <c r="AD15" s="340">
        <f t="shared" si="2"/>
        <v>0</v>
      </c>
      <c r="AE15" s="340">
        <f t="shared" si="3"/>
        <v>62614.559999999998</v>
      </c>
      <c r="AF15" s="340">
        <f t="shared" si="4"/>
        <v>0</v>
      </c>
      <c r="AG15" s="488">
        <f t="shared" si="5"/>
        <v>201890.22</v>
      </c>
      <c r="AH15" s="427"/>
      <c r="AI15" s="427"/>
      <c r="AJ15" s="460">
        <v>1136.5999999999999</v>
      </c>
      <c r="AK15" s="427"/>
      <c r="AL15" s="427">
        <v>59047.519999999997</v>
      </c>
      <c r="AM15" s="341">
        <v>7160.42</v>
      </c>
      <c r="AN15" s="427"/>
      <c r="AO15" s="427"/>
      <c r="AP15" s="427">
        <v>478.77</v>
      </c>
      <c r="AQ15" s="335">
        <v>45693</v>
      </c>
      <c r="AR15" s="341"/>
      <c r="AS15" s="427">
        <v>1191.1500000000001</v>
      </c>
      <c r="AT15" s="341">
        <v>55273.21</v>
      </c>
      <c r="AU15" s="341">
        <v>9524.32</v>
      </c>
      <c r="AV15" s="427"/>
      <c r="AW15" s="341"/>
      <c r="AX15" s="427"/>
      <c r="AY15" s="210">
        <v>1094.3399999999999</v>
      </c>
      <c r="AZ15" s="210"/>
      <c r="BA15" s="226"/>
      <c r="BB15" s="427">
        <v>19348.349999999999</v>
      </c>
      <c r="BC15" s="324">
        <v>1942.54</v>
      </c>
      <c r="BD15" s="675">
        <f t="shared" si="7"/>
        <v>-139275.66</v>
      </c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</row>
    <row r="16" spans="1:80" x14ac:dyDescent="0.25">
      <c r="A16" s="4"/>
      <c r="B16" s="431" t="s">
        <v>12</v>
      </c>
      <c r="C16" s="285"/>
      <c r="D16" s="285"/>
      <c r="E16" s="469">
        <f>SUM(E7:E13)</f>
        <v>354</v>
      </c>
      <c r="F16" s="469">
        <f>SUM(F7:F13)</f>
        <v>923</v>
      </c>
      <c r="G16" s="648">
        <f t="shared" ref="G16:N16" si="8">SUM(G7:G14)</f>
        <v>23777.899999999998</v>
      </c>
      <c r="H16" s="648">
        <f t="shared" si="8"/>
        <v>2407.3999999999996</v>
      </c>
      <c r="I16" s="648">
        <f t="shared" si="8"/>
        <v>20509.79</v>
      </c>
      <c r="J16" s="648">
        <f t="shared" si="8"/>
        <v>16427.28</v>
      </c>
      <c r="K16" s="648">
        <f t="shared" si="8"/>
        <v>71083.959999999992</v>
      </c>
      <c r="L16" s="648">
        <f t="shared" si="8"/>
        <v>79864.960000000006</v>
      </c>
      <c r="M16" s="648">
        <f t="shared" si="8"/>
        <v>0</v>
      </c>
      <c r="N16" s="648">
        <f t="shared" si="8"/>
        <v>7341.38</v>
      </c>
      <c r="O16" s="648">
        <f>SUM(O7:O15)</f>
        <v>163392.31999999998</v>
      </c>
      <c r="P16" s="648">
        <f t="shared" ref="P16:AG16" si="9">SUM(P7:P15)</f>
        <v>183139.52999999997</v>
      </c>
      <c r="Q16" s="648">
        <f t="shared" si="9"/>
        <v>0</v>
      </c>
      <c r="R16" s="648">
        <f t="shared" si="9"/>
        <v>4462.0600000000004</v>
      </c>
      <c r="S16" s="648">
        <f t="shared" si="9"/>
        <v>17488.240000000002</v>
      </c>
      <c r="T16" s="648">
        <f t="shared" si="9"/>
        <v>18881.890000000003</v>
      </c>
      <c r="U16" s="648">
        <f t="shared" si="9"/>
        <v>0</v>
      </c>
      <c r="V16" s="648">
        <f t="shared" si="9"/>
        <v>601.98</v>
      </c>
      <c r="W16" s="648">
        <f t="shared" si="9"/>
        <v>57643.200000000012</v>
      </c>
      <c r="X16" s="648">
        <f t="shared" si="9"/>
        <v>56179.100000000006</v>
      </c>
      <c r="Y16" s="648">
        <f t="shared" si="9"/>
        <v>5075303.8</v>
      </c>
      <c r="Z16" s="648">
        <f t="shared" si="9"/>
        <v>4240595.63</v>
      </c>
      <c r="AA16" s="648">
        <f t="shared" si="9"/>
        <v>408480.8</v>
      </c>
      <c r="AB16" s="648">
        <f t="shared" si="9"/>
        <v>381538.92435061879</v>
      </c>
      <c r="AC16" s="648">
        <f t="shared" si="9"/>
        <v>4666822.9999999991</v>
      </c>
      <c r="AD16" s="648">
        <f t="shared" si="9"/>
        <v>3859056.7056493815</v>
      </c>
      <c r="AE16" s="648">
        <f t="shared" si="9"/>
        <v>4996940.51</v>
      </c>
      <c r="AF16" s="648">
        <f t="shared" si="9"/>
        <v>4246464.6756493812</v>
      </c>
      <c r="AG16" s="648">
        <f t="shared" si="9"/>
        <v>4615604.5199999996</v>
      </c>
      <c r="AH16" s="461">
        <f>SUM(AH7:AH15)</f>
        <v>52223.82</v>
      </c>
      <c r="AI16" s="461">
        <f t="shared" ref="AI16:BC16" si="10">SUM(AI7:AI15)</f>
        <v>62340</v>
      </c>
      <c r="AJ16" s="461">
        <f t="shared" si="10"/>
        <v>15604.67</v>
      </c>
      <c r="AK16" s="461">
        <f t="shared" si="10"/>
        <v>35000</v>
      </c>
      <c r="AL16" s="461">
        <f t="shared" si="10"/>
        <v>1384322.29</v>
      </c>
      <c r="AM16" s="461">
        <f t="shared" si="10"/>
        <v>467334.32999999996</v>
      </c>
      <c r="AN16" s="461">
        <f t="shared" si="10"/>
        <v>4151.42</v>
      </c>
      <c r="AO16" s="461">
        <f t="shared" si="10"/>
        <v>3500</v>
      </c>
      <c r="AP16" s="461">
        <f t="shared" si="10"/>
        <v>2950</v>
      </c>
      <c r="AQ16" s="461">
        <f t="shared" si="10"/>
        <v>130860.9</v>
      </c>
      <c r="AR16" s="461">
        <f t="shared" si="10"/>
        <v>7465.5</v>
      </c>
      <c r="AS16" s="461">
        <f t="shared" si="10"/>
        <v>67475.23</v>
      </c>
      <c r="AT16" s="461">
        <f t="shared" si="10"/>
        <v>1236134.9099999999</v>
      </c>
      <c r="AU16" s="461">
        <f t="shared" si="10"/>
        <v>135351.36000000002</v>
      </c>
      <c r="AV16" s="461">
        <f t="shared" si="10"/>
        <v>40364.42</v>
      </c>
      <c r="AW16" s="461">
        <f t="shared" si="10"/>
        <v>3500</v>
      </c>
      <c r="AX16" s="461">
        <f t="shared" si="10"/>
        <v>7200</v>
      </c>
      <c r="AY16" s="461">
        <f t="shared" si="10"/>
        <v>6742.920000000001</v>
      </c>
      <c r="AZ16" s="461">
        <f t="shared" si="10"/>
        <v>7800</v>
      </c>
      <c r="BA16" s="461">
        <f t="shared" si="10"/>
        <v>1800</v>
      </c>
      <c r="BB16" s="461">
        <f t="shared" si="10"/>
        <v>927961.36</v>
      </c>
      <c r="BC16" s="461">
        <f t="shared" si="10"/>
        <v>15521.39</v>
      </c>
      <c r="BD16" s="461">
        <f>SUM(BD7:BD14)</f>
        <v>520611.64999999979</v>
      </c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</row>
    <row r="17" spans="1:80" x14ac:dyDescent="0.25">
      <c r="A17" s="658"/>
      <c r="B17" s="658"/>
      <c r="C17" s="658"/>
      <c r="D17" s="658"/>
      <c r="E17" s="346"/>
      <c r="F17" s="346"/>
      <c r="G17" s="348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7"/>
      <c r="AI17" s="348"/>
      <c r="AJ17" s="346"/>
      <c r="AK17" s="346"/>
      <c r="AL17" s="346"/>
      <c r="AM17" s="295"/>
      <c r="AN17" s="295"/>
      <c r="AO17" s="295"/>
      <c r="AP17" s="295"/>
      <c r="AQ17" s="455"/>
      <c r="AR17" s="295"/>
      <c r="AS17" s="295"/>
      <c r="AT17" s="455"/>
      <c r="AU17" s="295"/>
      <c r="AV17" s="295"/>
      <c r="AW17" s="295"/>
      <c r="AX17" s="349"/>
      <c r="AY17" s="349"/>
      <c r="AZ17" s="295"/>
      <c r="BA17" s="295"/>
      <c r="BB17" s="295"/>
      <c r="BC17" s="295"/>
      <c r="BD17" s="295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</row>
    <row r="18" spans="1:80" s="71" customFormat="1" ht="15" hidden="1" customHeight="1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</row>
    <row r="19" spans="1:80" s="71" customFormat="1" ht="15" hidden="1" customHeight="1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>
        <v>4209527.6100000003</v>
      </c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</row>
    <row r="20" spans="1:80" s="71" customFormat="1" ht="15" hidden="1" customHeight="1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</row>
    <row r="21" spans="1:80" s="71" customFormat="1" ht="15" hidden="1" customHeight="1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</row>
    <row r="22" spans="1:80" s="71" customFormat="1" ht="18" hidden="1" customHeight="1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</row>
    <row r="23" spans="1:80" ht="18" hidden="1" customHeight="1" x14ac:dyDescent="0.25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29"/>
      <c r="AH23" s="129"/>
      <c r="AI23" s="129"/>
      <c r="AJ23" s="129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</row>
    <row r="24" spans="1:80" ht="15" hidden="1" customHeight="1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</row>
    <row r="25" spans="1:80" ht="18.75" hidden="1" customHeight="1" x14ac:dyDescent="0.3">
      <c r="B25" s="52" t="s">
        <v>389</v>
      </c>
      <c r="C25" s="52"/>
      <c r="D25" s="52"/>
      <c r="E25" s="52"/>
      <c r="F25" s="52"/>
      <c r="P25" s="143"/>
      <c r="S25" s="111"/>
      <c r="T25" s="111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</row>
    <row r="26" spans="1:80" ht="18.75" hidden="1" customHeight="1" x14ac:dyDescent="0.3">
      <c r="B26" s="901" t="s">
        <v>366</v>
      </c>
      <c r="C26" s="902"/>
      <c r="D26" s="902"/>
      <c r="E26" s="902"/>
      <c r="F26" s="902"/>
      <c r="S26" s="111"/>
      <c r="T26" s="111"/>
      <c r="U26" s="462"/>
      <c r="V26" s="462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</row>
    <row r="27" spans="1:80" ht="15" hidden="1" customHeight="1" x14ac:dyDescent="0.25">
      <c r="S27" s="111"/>
      <c r="T27" s="111"/>
      <c r="U27" s="462"/>
      <c r="V27" s="462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</row>
    <row r="28" spans="1:80" ht="39" hidden="1" customHeight="1" x14ac:dyDescent="0.25">
      <c r="A28" s="858" t="s">
        <v>0</v>
      </c>
      <c r="B28" s="858" t="s">
        <v>130</v>
      </c>
      <c r="C28" s="858" t="s">
        <v>43</v>
      </c>
      <c r="D28" s="858" t="s">
        <v>44</v>
      </c>
      <c r="E28" s="858" t="s">
        <v>45</v>
      </c>
      <c r="F28" s="858" t="s">
        <v>46</v>
      </c>
      <c r="G28" s="858" t="s">
        <v>1</v>
      </c>
      <c r="H28" s="858" t="s">
        <v>181</v>
      </c>
      <c r="I28" s="683"/>
      <c r="J28" s="683"/>
      <c r="K28" s="662"/>
      <c r="L28" s="662"/>
      <c r="M28" s="662"/>
      <c r="N28" s="662"/>
      <c r="O28" s="662"/>
      <c r="P28" s="662"/>
      <c r="Q28" s="666"/>
      <c r="R28" s="667"/>
      <c r="S28" s="667"/>
      <c r="T28" s="667"/>
      <c r="U28" s="667"/>
      <c r="V28" s="667"/>
      <c r="W28" s="667"/>
      <c r="X28" s="668"/>
      <c r="Y28" s="883" t="s">
        <v>244</v>
      </c>
      <c r="Z28" s="884"/>
      <c r="AA28" s="885" t="s">
        <v>352</v>
      </c>
      <c r="AB28" s="885"/>
      <c r="AC28" s="883" t="s">
        <v>353</v>
      </c>
      <c r="AD28" s="884"/>
      <c r="AE28" s="886" t="s">
        <v>263</v>
      </c>
      <c r="AF28" s="887"/>
      <c r="AG28" s="868" t="s">
        <v>234</v>
      </c>
      <c r="AH28" s="888" t="s">
        <v>188</v>
      </c>
      <c r="AI28" s="888" t="s">
        <v>368</v>
      </c>
      <c r="AJ28" s="875" t="s">
        <v>369</v>
      </c>
      <c r="AK28" s="888" t="s">
        <v>291</v>
      </c>
      <c r="AL28" s="888" t="s">
        <v>370</v>
      </c>
      <c r="AM28" s="888" t="s">
        <v>371</v>
      </c>
      <c r="AN28" s="894" t="s">
        <v>372</v>
      </c>
      <c r="AO28" s="892" t="s">
        <v>396</v>
      </c>
      <c r="AP28" s="896" t="s">
        <v>373</v>
      </c>
      <c r="AQ28" s="896" t="s">
        <v>374</v>
      </c>
      <c r="AR28" s="896" t="s">
        <v>375</v>
      </c>
      <c r="AS28" s="896" t="s">
        <v>376</v>
      </c>
      <c r="AT28" s="896" t="s">
        <v>200</v>
      </c>
      <c r="AU28" s="896" t="s">
        <v>378</v>
      </c>
      <c r="AV28" s="896" t="s">
        <v>380</v>
      </c>
      <c r="AW28" s="896" t="s">
        <v>381</v>
      </c>
      <c r="AX28" s="892" t="s">
        <v>383</v>
      </c>
      <c r="AY28" s="903" t="s">
        <v>259</v>
      </c>
      <c r="AZ28" s="903" t="s">
        <v>284</v>
      </c>
      <c r="BA28" s="909" t="s">
        <v>388</v>
      </c>
      <c r="BB28" s="911"/>
      <c r="BC28" s="153"/>
      <c r="BD28" s="111"/>
      <c r="BE28" s="111"/>
      <c r="BF28" s="111"/>
      <c r="BG28" s="111"/>
      <c r="BH28" s="111"/>
      <c r="BI28" s="111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</row>
    <row r="29" spans="1:80" ht="27.75" hidden="1" customHeight="1" x14ac:dyDescent="0.25">
      <c r="A29" s="859"/>
      <c r="B29" s="859"/>
      <c r="C29" s="859"/>
      <c r="D29" s="859"/>
      <c r="E29" s="859"/>
      <c r="F29" s="859"/>
      <c r="G29" s="859"/>
      <c r="H29" s="859"/>
      <c r="I29" s="214"/>
      <c r="J29" s="214"/>
      <c r="K29" s="355"/>
      <c r="L29" s="355"/>
      <c r="M29" s="355"/>
      <c r="N29" s="355"/>
      <c r="O29" s="355"/>
      <c r="P29" s="355"/>
      <c r="Q29" s="669"/>
      <c r="R29" s="670"/>
      <c r="S29" s="670"/>
      <c r="T29" s="670"/>
      <c r="U29" s="670"/>
      <c r="V29" s="670"/>
      <c r="W29" s="670"/>
      <c r="X29" s="671"/>
      <c r="Y29" s="303" t="s">
        <v>4</v>
      </c>
      <c r="Z29" s="304" t="s">
        <v>5</v>
      </c>
      <c r="AA29" s="303" t="s">
        <v>4</v>
      </c>
      <c r="AB29" s="304" t="s">
        <v>5</v>
      </c>
      <c r="AC29" s="303" t="s">
        <v>4</v>
      </c>
      <c r="AD29" s="304" t="s">
        <v>5</v>
      </c>
      <c r="AE29" s="538" t="s">
        <v>4</v>
      </c>
      <c r="AF29" s="539" t="s">
        <v>5</v>
      </c>
      <c r="AG29" s="869"/>
      <c r="AH29" s="889"/>
      <c r="AI29" s="889"/>
      <c r="AJ29" s="876"/>
      <c r="AK29" s="889"/>
      <c r="AL29" s="889"/>
      <c r="AM29" s="889"/>
      <c r="AN29" s="895"/>
      <c r="AO29" s="893"/>
      <c r="AP29" s="897"/>
      <c r="AQ29" s="897"/>
      <c r="AR29" s="897"/>
      <c r="AS29" s="897"/>
      <c r="AT29" s="897"/>
      <c r="AU29" s="897"/>
      <c r="AV29" s="897"/>
      <c r="AW29" s="897"/>
      <c r="AX29" s="893"/>
      <c r="AY29" s="904"/>
      <c r="AZ29" s="904"/>
      <c r="BA29" s="910"/>
      <c r="BB29" s="912"/>
      <c r="BC29" s="153"/>
      <c r="BD29" s="111"/>
      <c r="BE29" s="111"/>
      <c r="BF29" s="111"/>
      <c r="BG29" s="111"/>
      <c r="BH29" s="111"/>
      <c r="BI29" s="111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</row>
    <row r="30" spans="1:80" ht="15" hidden="1" customHeight="1" x14ac:dyDescent="0.25">
      <c r="A30" s="2">
        <v>1</v>
      </c>
      <c r="B30" s="429" t="s">
        <v>6</v>
      </c>
      <c r="C30" s="336">
        <v>1977</v>
      </c>
      <c r="D30" s="336">
        <v>5</v>
      </c>
      <c r="E30" s="336">
        <v>45</v>
      </c>
      <c r="F30" s="350">
        <v>132</v>
      </c>
      <c r="G30" s="338">
        <v>2366.1999999999998</v>
      </c>
      <c r="H30" s="338">
        <v>207.4</v>
      </c>
      <c r="I30" s="339"/>
      <c r="J30" s="339"/>
      <c r="K30" s="339"/>
      <c r="L30" s="339"/>
      <c r="M30" s="339"/>
      <c r="N30" s="339"/>
      <c r="O30" s="664"/>
      <c r="P30" s="664"/>
      <c r="Q30" s="340"/>
      <c r="R30" s="340"/>
      <c r="S30" s="318"/>
      <c r="T30" s="464"/>
      <c r="U30" s="464"/>
      <c r="V30" s="464"/>
      <c r="W30" s="463"/>
      <c r="X30" s="340"/>
      <c r="Y30" s="340">
        <v>94708</v>
      </c>
      <c r="Z30" s="340">
        <v>105742.87</v>
      </c>
      <c r="AA30" s="340">
        <f>Y30/8*12</f>
        <v>142062</v>
      </c>
      <c r="AB30" s="340"/>
      <c r="AC30" s="340">
        <f>AA30-Y30</f>
        <v>47354</v>
      </c>
      <c r="AD30" s="340"/>
      <c r="AE30" s="427">
        <f>AA30</f>
        <v>142062</v>
      </c>
      <c r="AF30" s="427">
        <f>Z30+AB7</f>
        <v>149424.78834271897</v>
      </c>
      <c r="AG30" s="340"/>
      <c r="AH30" s="340">
        <v>4620</v>
      </c>
      <c r="AI30" s="340">
        <v>9404.34</v>
      </c>
      <c r="AJ30" s="318">
        <v>68965.2</v>
      </c>
      <c r="AK30" s="318">
        <v>85000</v>
      </c>
      <c r="AL30" s="318">
        <v>4847.32</v>
      </c>
      <c r="AM30" s="318"/>
      <c r="AN30" s="318">
        <v>33264.22</v>
      </c>
      <c r="AO30" s="318">
        <v>5989.26</v>
      </c>
      <c r="AP30" s="318">
        <v>7393.5</v>
      </c>
      <c r="AQ30" s="318">
        <v>21479.31</v>
      </c>
      <c r="AR30" s="318">
        <v>4385.6499999999996</v>
      </c>
      <c r="AS30" s="318">
        <v>1939.08</v>
      </c>
      <c r="AT30" s="318"/>
      <c r="AU30" s="318"/>
      <c r="AV30" s="318"/>
      <c r="AW30" s="318"/>
      <c r="AX30" s="284"/>
      <c r="AY30" s="284"/>
      <c r="AZ30" s="153"/>
      <c r="BA30" s="195">
        <v>32361</v>
      </c>
      <c r="BB30" s="195"/>
      <c r="BC30" s="195"/>
      <c r="BD30" s="111"/>
      <c r="BE30" s="111"/>
      <c r="BF30" s="111"/>
      <c r="BG30" s="111"/>
      <c r="BH30" s="111"/>
      <c r="BI30" s="111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</row>
    <row r="31" spans="1:80" ht="15" hidden="1" customHeight="1" x14ac:dyDescent="0.25">
      <c r="A31" s="5">
        <v>2</v>
      </c>
      <c r="B31" s="430" t="s">
        <v>7</v>
      </c>
      <c r="C31" s="285">
        <v>1977</v>
      </c>
      <c r="D31" s="285">
        <v>5</v>
      </c>
      <c r="E31" s="285">
        <v>45</v>
      </c>
      <c r="F31" s="351">
        <v>117</v>
      </c>
      <c r="G31" s="286">
        <v>2363.9</v>
      </c>
      <c r="H31" s="286">
        <v>207.4</v>
      </c>
      <c r="I31" s="339"/>
      <c r="J31" s="339"/>
      <c r="K31" s="339"/>
      <c r="L31" s="339"/>
      <c r="M31" s="339"/>
      <c r="N31" s="339"/>
      <c r="O31" s="664"/>
      <c r="P31" s="664"/>
      <c r="Q31" s="340"/>
      <c r="R31" s="340"/>
      <c r="S31" s="318"/>
      <c r="T31" s="464"/>
      <c r="U31" s="464"/>
      <c r="V31" s="464"/>
      <c r="W31" s="463"/>
      <c r="X31" s="340"/>
      <c r="Y31" s="340">
        <v>94564</v>
      </c>
      <c r="Z31" s="340">
        <v>100001.14</v>
      </c>
      <c r="AA31" s="340">
        <f t="shared" ref="AA31:AA37" si="11">Y31/8*12</f>
        <v>141846</v>
      </c>
      <c r="AB31" s="340"/>
      <c r="AC31" s="340">
        <f t="shared" ref="AC31:AC37" si="12">AA31-Y31</f>
        <v>47282</v>
      </c>
      <c r="AD31" s="340"/>
      <c r="AE31" s="427">
        <f t="shared" ref="AE31:AE38" si="13">AA31</f>
        <v>141846</v>
      </c>
      <c r="AF31" s="427">
        <f t="shared" ref="AF31:AF38" si="14">Z31+AB8</f>
        <v>141167.03319499025</v>
      </c>
      <c r="AG31" s="340"/>
      <c r="AH31" s="340"/>
      <c r="AI31" s="340">
        <v>9404.34</v>
      </c>
      <c r="AJ31" s="318">
        <v>68965.2</v>
      </c>
      <c r="AK31" s="318"/>
      <c r="AL31" s="318">
        <v>4847.32</v>
      </c>
      <c r="AM31" s="318">
        <v>1615.78</v>
      </c>
      <c r="AN31" s="318">
        <v>25625.93</v>
      </c>
      <c r="AO31" s="318">
        <v>4000.9</v>
      </c>
      <c r="AP31" s="318"/>
      <c r="AQ31" s="318"/>
      <c r="AR31" s="318"/>
      <c r="AS31" s="318">
        <v>849.81</v>
      </c>
      <c r="AT31" s="318">
        <v>3386</v>
      </c>
      <c r="AU31" s="318">
        <v>404</v>
      </c>
      <c r="AV31" s="318"/>
      <c r="AW31" s="318"/>
      <c r="AX31" s="284"/>
      <c r="AY31" s="284"/>
      <c r="AZ31" s="153"/>
      <c r="BA31" s="195">
        <v>32361</v>
      </c>
      <c r="BB31" s="195"/>
      <c r="BC31" s="195"/>
      <c r="BD31" s="111"/>
      <c r="BE31" s="111"/>
      <c r="BF31" s="111"/>
      <c r="BG31" s="111"/>
      <c r="BH31" s="111"/>
      <c r="BI31" s="111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</row>
    <row r="32" spans="1:80" ht="15" hidden="1" customHeight="1" x14ac:dyDescent="0.25">
      <c r="A32" s="5">
        <v>3</v>
      </c>
      <c r="B32" s="430" t="s">
        <v>8</v>
      </c>
      <c r="C32" s="285">
        <v>1986</v>
      </c>
      <c r="D32" s="285">
        <v>3</v>
      </c>
      <c r="E32" s="285">
        <v>24</v>
      </c>
      <c r="F32" s="350">
        <v>83</v>
      </c>
      <c r="G32" s="286">
        <v>1440.6</v>
      </c>
      <c r="H32" s="286">
        <v>174</v>
      </c>
      <c r="I32" s="339"/>
      <c r="J32" s="339"/>
      <c r="K32" s="339"/>
      <c r="L32" s="339"/>
      <c r="M32" s="339"/>
      <c r="N32" s="339"/>
      <c r="O32" s="664"/>
      <c r="P32" s="664"/>
      <c r="Q32" s="340"/>
      <c r="R32" s="340"/>
      <c r="S32" s="318"/>
      <c r="T32" s="464"/>
      <c r="U32" s="464"/>
      <c r="V32" s="464"/>
      <c r="W32" s="463"/>
      <c r="X32" s="340"/>
      <c r="Y32" s="340">
        <v>57624</v>
      </c>
      <c r="Z32" s="340">
        <v>67847.06</v>
      </c>
      <c r="AA32" s="340">
        <f t="shared" si="11"/>
        <v>86436</v>
      </c>
      <c r="AB32" s="340"/>
      <c r="AC32" s="340">
        <f t="shared" si="12"/>
        <v>28812</v>
      </c>
      <c r="AD32" s="340"/>
      <c r="AE32" s="427">
        <f t="shared" si="13"/>
        <v>86436</v>
      </c>
      <c r="AF32" s="427">
        <f t="shared" si="14"/>
        <v>95344.005556915537</v>
      </c>
      <c r="AG32" s="340"/>
      <c r="AH32" s="340">
        <v>1540</v>
      </c>
      <c r="AI32" s="340">
        <v>9404.34</v>
      </c>
      <c r="AJ32" s="318">
        <v>41379.599999999999</v>
      </c>
      <c r="AK32" s="318">
        <v>45000</v>
      </c>
      <c r="AL32" s="318">
        <v>4847.32</v>
      </c>
      <c r="AM32" s="318"/>
      <c r="AN32" s="318">
        <v>34592.339999999997</v>
      </c>
      <c r="AO32" s="318"/>
      <c r="AP32" s="318"/>
      <c r="AQ32" s="318"/>
      <c r="AR32" s="318"/>
      <c r="AS32" s="318"/>
      <c r="AT32" s="318"/>
      <c r="AU32" s="318"/>
      <c r="AV32" s="318"/>
      <c r="AW32" s="318"/>
      <c r="AX32" s="284"/>
      <c r="AY32" s="284"/>
      <c r="AZ32" s="153"/>
      <c r="BA32" s="195">
        <v>23633</v>
      </c>
      <c r="BB32" s="195"/>
      <c r="BC32" s="195"/>
      <c r="BD32" s="111"/>
      <c r="BE32" s="111"/>
      <c r="BF32" s="111"/>
      <c r="BG32" s="111"/>
      <c r="BH32" s="111"/>
      <c r="BI32" s="111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</row>
    <row r="33" spans="1:80" ht="15" hidden="1" customHeight="1" x14ac:dyDescent="0.25">
      <c r="A33" s="5">
        <v>4</v>
      </c>
      <c r="B33" s="430" t="s">
        <v>9</v>
      </c>
      <c r="C33" s="285">
        <v>1992</v>
      </c>
      <c r="D33" s="285">
        <v>5</v>
      </c>
      <c r="E33" s="285">
        <v>60</v>
      </c>
      <c r="F33" s="351">
        <v>167</v>
      </c>
      <c r="G33" s="286">
        <v>3634.3</v>
      </c>
      <c r="H33" s="286">
        <v>468.3</v>
      </c>
      <c r="I33" s="339"/>
      <c r="J33" s="339"/>
      <c r="K33" s="339"/>
      <c r="L33" s="339"/>
      <c r="M33" s="339"/>
      <c r="N33" s="339"/>
      <c r="O33" s="664"/>
      <c r="P33" s="664"/>
      <c r="Q33" s="340"/>
      <c r="R33" s="340"/>
      <c r="S33" s="340"/>
      <c r="T33" s="340"/>
      <c r="U33" s="340"/>
      <c r="V33" s="340"/>
      <c r="W33" s="340"/>
      <c r="X33" s="340"/>
      <c r="Y33" s="340">
        <v>145400</v>
      </c>
      <c r="Z33" s="340">
        <v>166481.04999999999</v>
      </c>
      <c r="AA33" s="340">
        <f t="shared" si="11"/>
        <v>218100</v>
      </c>
      <c r="AB33" s="340"/>
      <c r="AC33" s="340">
        <f t="shared" si="12"/>
        <v>72700</v>
      </c>
      <c r="AD33" s="340"/>
      <c r="AE33" s="427">
        <f t="shared" si="13"/>
        <v>218100</v>
      </c>
      <c r="AF33" s="427">
        <f t="shared" si="14"/>
        <v>235915.04529384576</v>
      </c>
      <c r="AG33" s="340"/>
      <c r="AH33" s="340">
        <v>2200</v>
      </c>
      <c r="AI33" s="340">
        <v>9404.34</v>
      </c>
      <c r="AJ33" s="318">
        <v>68965.2</v>
      </c>
      <c r="AK33" s="318"/>
      <c r="AL33" s="318">
        <v>4847.32</v>
      </c>
      <c r="AM33" s="318"/>
      <c r="AN33" s="318">
        <v>23422.43</v>
      </c>
      <c r="AO33" s="318">
        <v>5940.97</v>
      </c>
      <c r="AP33" s="318"/>
      <c r="AQ33" s="318"/>
      <c r="AR33" s="318"/>
      <c r="AS33" s="318"/>
      <c r="AT33" s="318"/>
      <c r="AU33" s="318"/>
      <c r="AV33" s="318"/>
      <c r="AW33" s="318"/>
      <c r="AX33" s="284"/>
      <c r="AY33" s="284">
        <v>23214.37</v>
      </c>
      <c r="AZ33" s="153"/>
      <c r="BA33" s="195">
        <v>35132</v>
      </c>
      <c r="BB33" s="195"/>
      <c r="BC33" s="195"/>
      <c r="BD33" s="111"/>
      <c r="BE33" s="111"/>
      <c r="BF33" s="111"/>
      <c r="BG33" s="111"/>
      <c r="BH33" s="111"/>
      <c r="BI33" s="111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</row>
    <row r="34" spans="1:80" ht="15" hidden="1" customHeight="1" x14ac:dyDescent="0.25">
      <c r="A34" s="5">
        <v>5</v>
      </c>
      <c r="B34" s="430" t="s">
        <v>11</v>
      </c>
      <c r="C34" s="285">
        <v>1994</v>
      </c>
      <c r="D34" s="285">
        <v>5</v>
      </c>
      <c r="E34" s="285">
        <v>60</v>
      </c>
      <c r="F34" s="337">
        <v>131</v>
      </c>
      <c r="G34" s="286">
        <v>3641.8</v>
      </c>
      <c r="H34" s="286">
        <v>468.3</v>
      </c>
      <c r="I34" s="339"/>
      <c r="J34" s="339"/>
      <c r="K34" s="339"/>
      <c r="L34" s="339"/>
      <c r="M34" s="339"/>
      <c r="N34" s="339"/>
      <c r="O34" s="664"/>
      <c r="P34" s="664"/>
      <c r="Q34" s="340"/>
      <c r="R34" s="340"/>
      <c r="S34" s="340"/>
      <c r="T34" s="340"/>
      <c r="U34" s="340"/>
      <c r="V34" s="340"/>
      <c r="W34" s="340"/>
      <c r="X34" s="340"/>
      <c r="Y34" s="340">
        <v>145648</v>
      </c>
      <c r="Z34" s="340">
        <v>165525.13</v>
      </c>
      <c r="AA34" s="340">
        <f t="shared" si="11"/>
        <v>218472</v>
      </c>
      <c r="AB34" s="340"/>
      <c r="AC34" s="340">
        <f t="shared" si="12"/>
        <v>72824</v>
      </c>
      <c r="AD34" s="340"/>
      <c r="AE34" s="427">
        <f t="shared" si="13"/>
        <v>218472</v>
      </c>
      <c r="AF34" s="427">
        <f t="shared" si="14"/>
        <v>234618.36229166668</v>
      </c>
      <c r="AG34" s="340"/>
      <c r="AH34" s="340">
        <v>14520</v>
      </c>
      <c r="AI34" s="340">
        <v>9404.34</v>
      </c>
      <c r="AJ34" s="318">
        <v>68965.2</v>
      </c>
      <c r="AK34" s="318"/>
      <c r="AL34" s="318">
        <v>4847.32</v>
      </c>
      <c r="AM34" s="318"/>
      <c r="AN34" s="318">
        <v>33360.9</v>
      </c>
      <c r="AO34" s="318">
        <v>5972.08</v>
      </c>
      <c r="AP34" s="318"/>
      <c r="AQ34" s="318"/>
      <c r="AR34" s="318">
        <v>3072.28</v>
      </c>
      <c r="AS34" s="318">
        <v>283.92</v>
      </c>
      <c r="AT34" s="318"/>
      <c r="AU34" s="318"/>
      <c r="AV34" s="318">
        <v>3570.48</v>
      </c>
      <c r="AW34" s="318">
        <v>2204.46</v>
      </c>
      <c r="AX34" s="284"/>
      <c r="AY34" s="284"/>
      <c r="AZ34" s="153"/>
      <c r="BA34" s="195">
        <v>35132</v>
      </c>
      <c r="BB34" s="195"/>
      <c r="BC34" s="195"/>
      <c r="BD34" s="111"/>
      <c r="BE34" s="111"/>
      <c r="BF34" s="111"/>
      <c r="BG34" s="111"/>
      <c r="BH34" s="111"/>
      <c r="BI34" s="111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</row>
    <row r="35" spans="1:80" ht="15" hidden="1" customHeight="1" x14ac:dyDescent="0.25">
      <c r="A35" s="5">
        <v>6</v>
      </c>
      <c r="B35" s="430" t="s">
        <v>10</v>
      </c>
      <c r="C35" s="285">
        <v>1981</v>
      </c>
      <c r="D35" s="285">
        <v>5</v>
      </c>
      <c r="E35" s="285">
        <v>60</v>
      </c>
      <c r="F35" s="337">
        <v>159</v>
      </c>
      <c r="G35" s="286">
        <v>3289.5</v>
      </c>
      <c r="H35" s="286">
        <v>397</v>
      </c>
      <c r="I35" s="339"/>
      <c r="J35" s="339"/>
      <c r="K35" s="339"/>
      <c r="L35" s="339"/>
      <c r="M35" s="339"/>
      <c r="N35" s="339"/>
      <c r="O35" s="664"/>
      <c r="P35" s="664"/>
      <c r="Q35" s="340"/>
      <c r="R35" s="340"/>
      <c r="S35" s="340"/>
      <c r="T35" s="340"/>
      <c r="U35" s="340"/>
      <c r="V35" s="340"/>
      <c r="W35" s="340"/>
      <c r="X35" s="340"/>
      <c r="Y35" s="340">
        <v>131684</v>
      </c>
      <c r="Z35" s="340">
        <v>148718.16</v>
      </c>
      <c r="AA35" s="340">
        <f t="shared" si="11"/>
        <v>197526</v>
      </c>
      <c r="AB35" s="340"/>
      <c r="AC35" s="340">
        <f t="shared" si="12"/>
        <v>65842</v>
      </c>
      <c r="AD35" s="340"/>
      <c r="AE35" s="427">
        <f t="shared" si="13"/>
        <v>197526</v>
      </c>
      <c r="AF35" s="427">
        <f t="shared" si="14"/>
        <v>210388.1895773854</v>
      </c>
      <c r="AG35" s="340"/>
      <c r="AH35" s="340">
        <v>3520</v>
      </c>
      <c r="AI35" s="340">
        <v>12539.15</v>
      </c>
      <c r="AJ35" s="318">
        <v>68965.2</v>
      </c>
      <c r="AK35" s="318">
        <v>73000</v>
      </c>
      <c r="AL35" s="318">
        <v>6463.07</v>
      </c>
      <c r="AM35" s="318"/>
      <c r="AN35" s="318">
        <v>37544.81</v>
      </c>
      <c r="AO35" s="318">
        <v>6338.75</v>
      </c>
      <c r="AP35" s="318"/>
      <c r="AQ35" s="318"/>
      <c r="AR35" s="318"/>
      <c r="AS35" s="318"/>
      <c r="AT35" s="318"/>
      <c r="AU35" s="318"/>
      <c r="AV35" s="318">
        <v>3570.47</v>
      </c>
      <c r="AW35" s="318"/>
      <c r="AX35" s="284">
        <v>73497</v>
      </c>
      <c r="AY35" s="284"/>
      <c r="AZ35" s="153"/>
      <c r="BA35" s="195">
        <v>32361</v>
      </c>
      <c r="BB35" s="195"/>
      <c r="BC35" s="195"/>
      <c r="BD35" s="111"/>
      <c r="BE35" s="111"/>
      <c r="BF35" s="111"/>
      <c r="BG35" s="111"/>
      <c r="BH35" s="111"/>
      <c r="BI35" s="111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</row>
    <row r="36" spans="1:80" ht="15" hidden="1" customHeight="1" x14ac:dyDescent="0.25">
      <c r="A36" s="117">
        <v>7</v>
      </c>
      <c r="B36" s="430" t="s">
        <v>187</v>
      </c>
      <c r="C36" s="285">
        <v>1993</v>
      </c>
      <c r="D36" s="285">
        <v>5</v>
      </c>
      <c r="E36" s="285">
        <v>60</v>
      </c>
      <c r="F36" s="337">
        <v>134</v>
      </c>
      <c r="G36" s="286">
        <v>3681.6</v>
      </c>
      <c r="H36" s="286">
        <v>485</v>
      </c>
      <c r="I36" s="339"/>
      <c r="J36" s="339"/>
      <c r="K36" s="339"/>
      <c r="L36" s="339"/>
      <c r="M36" s="339"/>
      <c r="N36" s="339"/>
      <c r="O36" s="664"/>
      <c r="P36" s="664"/>
      <c r="Q36" s="340"/>
      <c r="R36" s="340"/>
      <c r="S36" s="340"/>
      <c r="T36" s="340"/>
      <c r="U36" s="340"/>
      <c r="V36" s="340"/>
      <c r="W36" s="340"/>
      <c r="X36" s="340"/>
      <c r="Y36" s="340">
        <v>147333.6</v>
      </c>
      <c r="Z36" s="340">
        <v>161025.12</v>
      </c>
      <c r="AA36" s="340">
        <f t="shared" si="11"/>
        <v>221000.40000000002</v>
      </c>
      <c r="AB36" s="340"/>
      <c r="AC36" s="340">
        <f t="shared" si="12"/>
        <v>73666.800000000017</v>
      </c>
      <c r="AD36" s="340"/>
      <c r="AE36" s="427">
        <f t="shared" si="13"/>
        <v>221000.40000000002</v>
      </c>
      <c r="AF36" s="427">
        <f t="shared" si="14"/>
        <v>230022.0300930962</v>
      </c>
      <c r="AG36" s="340"/>
      <c r="AH36" s="340">
        <v>2200</v>
      </c>
      <c r="AI36" s="340">
        <v>9404.34</v>
      </c>
      <c r="AJ36" s="318"/>
      <c r="AK36" s="318">
        <v>45000</v>
      </c>
      <c r="AL36" s="318">
        <v>4847.3100000000004</v>
      </c>
      <c r="AM36" s="318"/>
      <c r="AN36" s="318">
        <v>5712.78</v>
      </c>
      <c r="AO36" s="318">
        <v>5499.69</v>
      </c>
      <c r="AP36" s="318"/>
      <c r="AQ36" s="318"/>
      <c r="AR36" s="318"/>
      <c r="AS36" s="318"/>
      <c r="AT36" s="318"/>
      <c r="AU36" s="318"/>
      <c r="AV36" s="318">
        <v>3570.47</v>
      </c>
      <c r="AW36" s="318"/>
      <c r="AX36" s="284">
        <v>82278</v>
      </c>
      <c r="AY36" s="284"/>
      <c r="AZ36" s="153">
        <v>71146.2</v>
      </c>
      <c r="BA36" s="195"/>
      <c r="BB36" s="195"/>
      <c r="BC36" s="195"/>
      <c r="BD36" s="111"/>
      <c r="BE36" s="111"/>
      <c r="BF36" s="111"/>
      <c r="BG36" s="111"/>
      <c r="BH36" s="111"/>
      <c r="BI36" s="111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</row>
    <row r="37" spans="1:80" ht="15" hidden="1" customHeight="1" x14ac:dyDescent="0.25">
      <c r="A37" s="117">
        <v>8</v>
      </c>
      <c r="B37" s="430" t="s">
        <v>226</v>
      </c>
      <c r="C37" s="285"/>
      <c r="D37" s="285"/>
      <c r="E37" s="285"/>
      <c r="F37" s="337"/>
      <c r="G37" s="286">
        <v>3360</v>
      </c>
      <c r="H37" s="286"/>
      <c r="I37" s="339"/>
      <c r="J37" s="339"/>
      <c r="K37" s="339"/>
      <c r="L37" s="339"/>
      <c r="M37" s="339"/>
      <c r="N37" s="339"/>
      <c r="O37" s="664"/>
      <c r="P37" s="664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>
        <f t="shared" si="11"/>
        <v>0</v>
      </c>
      <c r="AB37" s="340"/>
      <c r="AC37" s="340">
        <f t="shared" si="12"/>
        <v>0</v>
      </c>
      <c r="AD37" s="340"/>
      <c r="AE37" s="427">
        <f t="shared" si="13"/>
        <v>0</v>
      </c>
      <c r="AF37" s="427">
        <f t="shared" si="14"/>
        <v>0</v>
      </c>
      <c r="AG37" s="340"/>
      <c r="AH37" s="340"/>
      <c r="AI37" s="340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284"/>
      <c r="AY37" s="284"/>
      <c r="AZ37" s="153"/>
      <c r="BA37" s="195"/>
      <c r="BB37" s="195"/>
      <c r="BC37" s="195"/>
      <c r="BD37" s="111"/>
      <c r="BE37" s="111"/>
      <c r="BF37" s="111"/>
      <c r="BG37" s="111"/>
      <c r="BH37" s="111"/>
      <c r="BI37" s="111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</row>
    <row r="38" spans="1:80" ht="15" hidden="1" customHeight="1" x14ac:dyDescent="0.25">
      <c r="A38" s="117">
        <v>9</v>
      </c>
      <c r="B38" s="430" t="s">
        <v>351</v>
      </c>
      <c r="C38" s="285"/>
      <c r="D38" s="285"/>
      <c r="E38" s="285"/>
      <c r="F38" s="337"/>
      <c r="G38" s="286"/>
      <c r="H38" s="286"/>
      <c r="I38" s="339"/>
      <c r="J38" s="339"/>
      <c r="K38" s="339"/>
      <c r="L38" s="339"/>
      <c r="M38" s="339"/>
      <c r="N38" s="339"/>
      <c r="O38" s="664"/>
      <c r="P38" s="664"/>
      <c r="Q38" s="340"/>
      <c r="R38" s="340"/>
      <c r="S38" s="340"/>
      <c r="T38" s="340"/>
      <c r="U38" s="340"/>
      <c r="V38" s="340"/>
      <c r="W38" s="340"/>
      <c r="X38" s="340"/>
      <c r="Y38" s="340">
        <v>9214.7999999999993</v>
      </c>
      <c r="Z38" s="340"/>
      <c r="AA38" s="340"/>
      <c r="AB38" s="340"/>
      <c r="AC38" s="340"/>
      <c r="AD38" s="340"/>
      <c r="AE38" s="427">
        <f t="shared" si="13"/>
        <v>0</v>
      </c>
      <c r="AF38" s="427">
        <f t="shared" si="14"/>
        <v>0</v>
      </c>
      <c r="AG38" s="340"/>
      <c r="AH38" s="340"/>
      <c r="AI38" s="340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284"/>
      <c r="AY38" s="284"/>
      <c r="AZ38" s="153"/>
      <c r="BA38" s="195"/>
      <c r="BB38" s="195"/>
      <c r="BC38" s="195"/>
      <c r="BD38" s="111"/>
      <c r="BE38" s="111"/>
      <c r="BF38" s="111"/>
      <c r="BG38" s="111"/>
      <c r="BH38" s="111"/>
      <c r="BI38" s="111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</row>
    <row r="39" spans="1:80" ht="15" hidden="1" customHeight="1" x14ac:dyDescent="0.25">
      <c r="A39" s="4"/>
      <c r="B39" s="431" t="s">
        <v>12</v>
      </c>
      <c r="C39" s="285"/>
      <c r="D39" s="285"/>
      <c r="E39" s="343">
        <f>SUM(E30:E36)</f>
        <v>354</v>
      </c>
      <c r="F39" s="343">
        <f>SUM(F30:F36)</f>
        <v>923</v>
      </c>
      <c r="G39" s="344">
        <f>SUM(G30:G37)</f>
        <v>23777.899999999998</v>
      </c>
      <c r="H39" s="344">
        <f>SUM(H30:H36)</f>
        <v>2407.3999999999996</v>
      </c>
      <c r="I39" s="428"/>
      <c r="J39" s="428"/>
      <c r="K39" s="428"/>
      <c r="L39" s="428"/>
      <c r="M39" s="428"/>
      <c r="N39" s="428"/>
      <c r="O39" s="665"/>
      <c r="P39" s="665"/>
      <c r="Q39" s="345"/>
      <c r="R39" s="345"/>
      <c r="S39" s="345"/>
      <c r="T39" s="345"/>
      <c r="U39" s="345"/>
      <c r="V39" s="345"/>
      <c r="W39" s="345"/>
      <c r="X39" s="345"/>
      <c r="Y39" s="659">
        <f>SUM(Y30:Y38)</f>
        <v>826176.4</v>
      </c>
      <c r="Z39" s="659">
        <f t="shared" ref="Z39:AF39" si="15">SUM(Z30:Z38)</f>
        <v>915340.53</v>
      </c>
      <c r="AA39" s="659">
        <f t="shared" si="15"/>
        <v>1225442.3999999999</v>
      </c>
      <c r="AB39" s="659">
        <f t="shared" si="15"/>
        <v>0</v>
      </c>
      <c r="AC39" s="659">
        <f t="shared" si="15"/>
        <v>408480.80000000005</v>
      </c>
      <c r="AD39" s="659">
        <f t="shared" si="15"/>
        <v>0</v>
      </c>
      <c r="AE39" s="659">
        <f t="shared" si="15"/>
        <v>1225442.3999999999</v>
      </c>
      <c r="AF39" s="659">
        <f t="shared" si="15"/>
        <v>1296879.4543506186</v>
      </c>
      <c r="AG39" s="345"/>
      <c r="AH39" s="648">
        <f>SUM(AH30:AH38)</f>
        <v>28600</v>
      </c>
      <c r="AI39" s="648">
        <f t="shared" ref="AI39:BC39" si="16">SUM(AI30:AI38)</f>
        <v>68965.19</v>
      </c>
      <c r="AJ39" s="648">
        <f t="shared" si="16"/>
        <v>386205.60000000003</v>
      </c>
      <c r="AK39" s="648">
        <f t="shared" si="16"/>
        <v>248000</v>
      </c>
      <c r="AL39" s="648">
        <f t="shared" si="16"/>
        <v>35546.979999999996</v>
      </c>
      <c r="AM39" s="648">
        <f t="shared" si="16"/>
        <v>1615.78</v>
      </c>
      <c r="AN39" s="648">
        <f t="shared" si="16"/>
        <v>193523.40999999997</v>
      </c>
      <c r="AO39" s="648">
        <f t="shared" si="16"/>
        <v>33741.65</v>
      </c>
      <c r="AP39" s="648">
        <f t="shared" si="16"/>
        <v>7393.5</v>
      </c>
      <c r="AQ39" s="648">
        <f t="shared" si="16"/>
        <v>21479.31</v>
      </c>
      <c r="AR39" s="648">
        <f t="shared" si="16"/>
        <v>7457.93</v>
      </c>
      <c r="AS39" s="648">
        <f t="shared" si="16"/>
        <v>3072.81</v>
      </c>
      <c r="AT39" s="648">
        <f t="shared" si="16"/>
        <v>3386</v>
      </c>
      <c r="AU39" s="648">
        <f t="shared" si="16"/>
        <v>404</v>
      </c>
      <c r="AV39" s="648">
        <f t="shared" si="16"/>
        <v>10711.42</v>
      </c>
      <c r="AW39" s="648">
        <f t="shared" si="16"/>
        <v>2204.46</v>
      </c>
      <c r="AX39" s="648">
        <f t="shared" si="16"/>
        <v>155775</v>
      </c>
      <c r="AY39" s="648">
        <f t="shared" si="16"/>
        <v>23214.37</v>
      </c>
      <c r="AZ39" s="648">
        <f t="shared" si="16"/>
        <v>71146.2</v>
      </c>
      <c r="BA39" s="648">
        <f t="shared" si="16"/>
        <v>190980</v>
      </c>
      <c r="BB39" s="648">
        <f t="shared" si="16"/>
        <v>0</v>
      </c>
      <c r="BC39" s="648">
        <f t="shared" si="16"/>
        <v>0</v>
      </c>
      <c r="BD39" s="111"/>
      <c r="BE39" s="111"/>
      <c r="BF39" s="111"/>
      <c r="BG39" s="111"/>
      <c r="BH39" s="111"/>
      <c r="BI39" s="111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</row>
    <row r="40" spans="1:80" ht="15" hidden="1" customHeight="1" x14ac:dyDescent="0.25">
      <c r="A40" s="80"/>
      <c r="B40" s="107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352"/>
      <c r="AI40" s="353"/>
      <c r="AJ40" s="354"/>
      <c r="AK40" s="142"/>
      <c r="AL40" s="288"/>
      <c r="AM40" s="288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8"/>
      <c r="AY40" s="148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</row>
    <row r="41" spans="1:80" ht="15" hidden="1" customHeight="1" x14ac:dyDescent="0.25">
      <c r="A41" s="80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 t="s">
        <v>128</v>
      </c>
      <c r="AI41" s="107"/>
      <c r="AJ41" s="141">
        <f>AI39+AJ39+AL39+AM39</f>
        <v>492333.55000000005</v>
      </c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</row>
    <row r="42" spans="1:80" hidden="1" x14ac:dyDescent="0.25">
      <c r="A42" s="80"/>
      <c r="B42" s="107" t="s">
        <v>377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40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677">
        <f>AN30+AO30+AP30+AQ30+AR30+AS30</f>
        <v>74451.02</v>
      </c>
      <c r="AO42" s="107"/>
      <c r="AP42" s="107"/>
      <c r="AQ42" s="107"/>
      <c r="AR42" s="107"/>
      <c r="AS42" s="107"/>
      <c r="AT42" s="107"/>
      <c r="AU42" s="107"/>
      <c r="AV42" s="107"/>
      <c r="AW42" s="107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</row>
    <row r="43" spans="1:80" hidden="1" x14ac:dyDescent="0.25">
      <c r="A43" s="107"/>
      <c r="B43" s="139" t="s">
        <v>379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 t="s">
        <v>128</v>
      </c>
      <c r="AJ43" s="107" t="s">
        <v>128</v>
      </c>
      <c r="AK43" s="107"/>
      <c r="AL43" s="107" t="s">
        <v>128</v>
      </c>
      <c r="AM43" s="139" t="s">
        <v>128</v>
      </c>
      <c r="AN43" s="677">
        <f>AN31+AO31+AS31+AT31+AU31</f>
        <v>34266.639999999999</v>
      </c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39"/>
      <c r="BB43" s="139"/>
      <c r="BC43" s="139"/>
      <c r="BD43" s="139"/>
      <c r="BE43" s="139"/>
      <c r="BF43" s="139"/>
      <c r="BG43" s="139"/>
      <c r="BH43" s="139"/>
      <c r="BI43" s="139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</row>
    <row r="44" spans="1:80" ht="18.75" hidden="1" customHeight="1" x14ac:dyDescent="0.25">
      <c r="A44" s="107"/>
      <c r="B44" s="139" t="s">
        <v>382</v>
      </c>
      <c r="C44" s="107"/>
      <c r="D44" s="107"/>
      <c r="E44" s="107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07"/>
      <c r="AL44" s="107"/>
      <c r="AM44" s="107"/>
      <c r="AN44" s="677">
        <f>AN34+AO34+AR34+AS34+AV34+AW34</f>
        <v>48464.12</v>
      </c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</row>
    <row r="45" spans="1:80" ht="16.5" hidden="1" customHeight="1" x14ac:dyDescent="0.25">
      <c r="A45" s="107"/>
      <c r="B45" s="139" t="s">
        <v>384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677">
        <f>AN35+AO35+AV35+AX35</f>
        <v>120951.03</v>
      </c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</row>
    <row r="46" spans="1:80" hidden="1" x14ac:dyDescent="0.25">
      <c r="A46" s="107"/>
      <c r="B46" s="139" t="s">
        <v>385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677">
        <f>AN32</f>
        <v>34592.339999999997</v>
      </c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</row>
    <row r="47" spans="1:80" hidden="1" x14ac:dyDescent="0.25">
      <c r="A47" s="107"/>
      <c r="B47" s="139" t="s">
        <v>386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677">
        <f>AN33+AO33+AY33</f>
        <v>52577.770000000004</v>
      </c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</row>
    <row r="48" spans="1:80" ht="17.25" hidden="1" customHeight="1" x14ac:dyDescent="0.25">
      <c r="A48" s="111"/>
      <c r="B48" s="139" t="s">
        <v>387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612">
        <f>AN36+AO36+AV36+AX36+AZ36</f>
        <v>168207.14</v>
      </c>
      <c r="AO48" s="111"/>
      <c r="AP48" s="111"/>
      <c r="AQ48" s="111"/>
      <c r="AR48" s="111"/>
      <c r="AS48" s="111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</row>
    <row r="49" spans="1:72" ht="18.75" hidden="1" customHeight="1" x14ac:dyDescent="0.25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678">
        <f>SUM(AN42:AN48)</f>
        <v>533510.06000000006</v>
      </c>
      <c r="AO49" s="111"/>
      <c r="AP49" s="111"/>
      <c r="AQ49" s="111"/>
      <c r="AR49" s="111"/>
      <c r="AS49" s="111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</row>
    <row r="50" spans="1:72" ht="18.75" x14ac:dyDescent="0.3">
      <c r="B50" s="52" t="s">
        <v>230</v>
      </c>
      <c r="C50" s="52"/>
      <c r="D50" s="52"/>
      <c r="E50" s="52"/>
      <c r="F50" s="52"/>
      <c r="P50" s="143"/>
      <c r="S50" s="111"/>
      <c r="T50" s="111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</row>
    <row r="51" spans="1:72" ht="18.75" customHeight="1" x14ac:dyDescent="0.3">
      <c r="B51" s="901" t="s">
        <v>366</v>
      </c>
      <c r="C51" s="902"/>
      <c r="D51" s="902"/>
      <c r="E51" s="902"/>
      <c r="F51" s="902"/>
      <c r="S51" s="111"/>
      <c r="T51" s="111"/>
      <c r="U51" s="462"/>
      <c r="V51" s="462"/>
      <c r="AY51" s="111"/>
      <c r="AZ51" s="111"/>
      <c r="BA51" s="111"/>
      <c r="BB51" s="111"/>
      <c r="BC51" s="111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</row>
    <row r="52" spans="1:72" x14ac:dyDescent="0.25">
      <c r="S52" s="111"/>
      <c r="T52" s="111"/>
      <c r="U52" s="462"/>
      <c r="V52" s="462"/>
      <c r="AE52" s="143" t="s">
        <v>449</v>
      </c>
      <c r="AH52" s="143" t="s">
        <v>450</v>
      </c>
      <c r="AX52" s="111"/>
      <c r="AY52" s="111"/>
      <c r="AZ52" s="111"/>
      <c r="BA52" s="111"/>
      <c r="BB52" s="111"/>
      <c r="BC52" s="111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</row>
    <row r="53" spans="1:72" ht="46.5" customHeight="1" x14ac:dyDescent="0.25">
      <c r="A53" s="858" t="s">
        <v>0</v>
      </c>
      <c r="B53" s="858" t="s">
        <v>130</v>
      </c>
      <c r="C53" s="858" t="s">
        <v>43</v>
      </c>
      <c r="D53" s="858" t="s">
        <v>44</v>
      </c>
      <c r="E53" s="858" t="s">
        <v>45</v>
      </c>
      <c r="F53" s="858" t="s">
        <v>46</v>
      </c>
      <c r="G53" s="858" t="s">
        <v>1</v>
      </c>
      <c r="H53" s="858" t="s">
        <v>181</v>
      </c>
      <c r="I53" s="683"/>
      <c r="J53" s="683"/>
      <c r="K53" s="673"/>
      <c r="L53" s="673"/>
      <c r="M53" s="673"/>
      <c r="N53" s="673"/>
      <c r="O53" s="673"/>
      <c r="P53" s="673"/>
      <c r="Q53" s="666"/>
      <c r="R53" s="667"/>
      <c r="S53" s="667"/>
      <c r="T53" s="667"/>
      <c r="U53" s="667"/>
      <c r="V53" s="667"/>
      <c r="W53" s="667"/>
      <c r="X53" s="668"/>
      <c r="Y53" s="883" t="s">
        <v>244</v>
      </c>
      <c r="Z53" s="884"/>
      <c r="AA53" s="885" t="s">
        <v>352</v>
      </c>
      <c r="AB53" s="885"/>
      <c r="AC53" s="883" t="s">
        <v>353</v>
      </c>
      <c r="AD53" s="884"/>
      <c r="AE53" s="886" t="s">
        <v>263</v>
      </c>
      <c r="AF53" s="887"/>
      <c r="AG53" s="868" t="s">
        <v>234</v>
      </c>
      <c r="AH53" s="888" t="s">
        <v>188</v>
      </c>
      <c r="AI53" s="888" t="s">
        <v>312</v>
      </c>
      <c r="AJ53" s="875" t="s">
        <v>390</v>
      </c>
      <c r="AK53" s="888" t="s">
        <v>291</v>
      </c>
      <c r="AL53" s="888" t="s">
        <v>391</v>
      </c>
      <c r="AM53" s="888" t="s">
        <v>392</v>
      </c>
      <c r="AN53" s="907" t="s">
        <v>373</v>
      </c>
      <c r="AO53" s="907" t="s">
        <v>374</v>
      </c>
      <c r="AP53" s="907" t="s">
        <v>375</v>
      </c>
      <c r="AQ53" s="907" t="s">
        <v>376</v>
      </c>
      <c r="AR53" s="907" t="s">
        <v>381</v>
      </c>
      <c r="AS53" s="907" t="s">
        <v>393</v>
      </c>
      <c r="AT53" s="913" t="s">
        <v>259</v>
      </c>
      <c r="AU53" s="913" t="s">
        <v>284</v>
      </c>
      <c r="AV53" s="907" t="s">
        <v>367</v>
      </c>
      <c r="AW53" s="907" t="s">
        <v>401</v>
      </c>
      <c r="AX53" s="735" t="s">
        <v>367</v>
      </c>
      <c r="AY53" s="111"/>
      <c r="AZ53" s="111"/>
      <c r="BA53" s="111"/>
      <c r="BB53" s="111"/>
      <c r="BC53" s="111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</row>
    <row r="54" spans="1:72" ht="44.25" customHeight="1" x14ac:dyDescent="0.25">
      <c r="A54" s="859"/>
      <c r="B54" s="859"/>
      <c r="C54" s="859"/>
      <c r="D54" s="859"/>
      <c r="E54" s="859"/>
      <c r="F54" s="859"/>
      <c r="G54" s="859"/>
      <c r="H54" s="859"/>
      <c r="I54" s="214"/>
      <c r="J54" s="214"/>
      <c r="K54" s="355"/>
      <c r="L54" s="355"/>
      <c r="M54" s="355"/>
      <c r="N54" s="355"/>
      <c r="O54" s="355"/>
      <c r="P54" s="355"/>
      <c r="Q54" s="669"/>
      <c r="R54" s="670"/>
      <c r="S54" s="670"/>
      <c r="T54" s="670"/>
      <c r="U54" s="670"/>
      <c r="V54" s="670"/>
      <c r="W54" s="670"/>
      <c r="X54" s="671"/>
      <c r="Y54" s="303" t="s">
        <v>4</v>
      </c>
      <c r="Z54" s="304" t="s">
        <v>5</v>
      </c>
      <c r="AA54" s="303" t="s">
        <v>4</v>
      </c>
      <c r="AB54" s="304" t="s">
        <v>5</v>
      </c>
      <c r="AC54" s="303" t="s">
        <v>4</v>
      </c>
      <c r="AD54" s="304" t="s">
        <v>5</v>
      </c>
      <c r="AE54" s="538" t="s">
        <v>4</v>
      </c>
      <c r="AF54" s="539" t="s">
        <v>5</v>
      </c>
      <c r="AG54" s="869"/>
      <c r="AH54" s="889"/>
      <c r="AI54" s="889"/>
      <c r="AJ54" s="876"/>
      <c r="AK54" s="889"/>
      <c r="AL54" s="889"/>
      <c r="AM54" s="889"/>
      <c r="AN54" s="908"/>
      <c r="AO54" s="908"/>
      <c r="AP54" s="908"/>
      <c r="AQ54" s="908"/>
      <c r="AR54" s="908"/>
      <c r="AS54" s="908"/>
      <c r="AT54" s="914"/>
      <c r="AU54" s="914"/>
      <c r="AV54" s="908"/>
      <c r="AW54" s="908"/>
      <c r="AX54" s="736"/>
      <c r="AY54" s="111"/>
      <c r="AZ54" s="111"/>
      <c r="BA54" s="111"/>
      <c r="BB54" s="111"/>
      <c r="BC54" s="111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</row>
    <row r="55" spans="1:72" x14ac:dyDescent="0.25">
      <c r="A55" s="2">
        <v>1</v>
      </c>
      <c r="B55" s="429" t="s">
        <v>6</v>
      </c>
      <c r="C55" s="336">
        <v>1977</v>
      </c>
      <c r="D55" s="336">
        <v>5</v>
      </c>
      <c r="E55" s="336">
        <v>45</v>
      </c>
      <c r="F55" s="350">
        <v>132</v>
      </c>
      <c r="G55" s="338">
        <v>2366.1999999999998</v>
      </c>
      <c r="H55" s="338">
        <v>207.4</v>
      </c>
      <c r="I55" s="339"/>
      <c r="J55" s="339"/>
      <c r="K55" s="339"/>
      <c r="L55" s="339"/>
      <c r="M55" s="339"/>
      <c r="N55" s="339"/>
      <c r="O55" s="664"/>
      <c r="P55" s="664"/>
      <c r="Q55" s="340"/>
      <c r="R55" s="340"/>
      <c r="S55" s="318"/>
      <c r="T55" s="464"/>
      <c r="U55" s="464"/>
      <c r="V55" s="464"/>
      <c r="W55" s="463"/>
      <c r="X55" s="340"/>
      <c r="Y55" s="340">
        <v>94708</v>
      </c>
      <c r="Z55" s="340">
        <v>105742.87</v>
      </c>
      <c r="AA55" s="340">
        <f>Y55/8*12</f>
        <v>142062</v>
      </c>
      <c r="AB55" s="340"/>
      <c r="AC55" s="340">
        <f>AA55-Y55</f>
        <v>47354</v>
      </c>
      <c r="AD55" s="340">
        <f>Z7-AD7</f>
        <v>43681.918342718971</v>
      </c>
      <c r="AE55" s="427">
        <f>AA55</f>
        <v>142062</v>
      </c>
      <c r="AF55" s="427">
        <f>Z55+AD55</f>
        <v>149424.78834271897</v>
      </c>
      <c r="AG55" s="340">
        <f>AH55+AI55+AJ55+AK55+AL55+AM55+AN55+AO55+AP55+AQ55+AR55++AS55+AT55+AU55+AW55</f>
        <v>268347.26</v>
      </c>
      <c r="AH55" s="340">
        <v>4620</v>
      </c>
      <c r="AI55" s="340">
        <v>23519.72</v>
      </c>
      <c r="AJ55" s="318">
        <v>120010</v>
      </c>
      <c r="AK55" s="318">
        <v>85000</v>
      </c>
      <c r="AL55" s="318"/>
      <c r="AM55" s="318"/>
      <c r="AN55" s="318">
        <v>7393.5</v>
      </c>
      <c r="AO55" s="318">
        <v>21479.31</v>
      </c>
      <c r="AP55" s="318">
        <v>4385.6499999999996</v>
      </c>
      <c r="AQ55" s="318">
        <v>1939.08</v>
      </c>
      <c r="AR55" s="318"/>
      <c r="AS55" s="318"/>
      <c r="AT55" s="318"/>
      <c r="AU55" s="318"/>
      <c r="AV55" s="318"/>
      <c r="AW55" s="318"/>
      <c r="AX55" s="233">
        <f>AE55-AG55</f>
        <v>-126285.26000000001</v>
      </c>
      <c r="AY55" s="111"/>
      <c r="AZ55" s="111"/>
      <c r="BA55" s="111"/>
      <c r="BB55" s="111"/>
      <c r="BC55" s="111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</row>
    <row r="56" spans="1:72" x14ac:dyDescent="0.25">
      <c r="A56" s="5">
        <v>2</v>
      </c>
      <c r="B56" s="430" t="s">
        <v>7</v>
      </c>
      <c r="C56" s="285">
        <v>1977</v>
      </c>
      <c r="D56" s="285">
        <v>5</v>
      </c>
      <c r="E56" s="285">
        <v>45</v>
      </c>
      <c r="F56" s="351">
        <v>117</v>
      </c>
      <c r="G56" s="286">
        <v>2363.9</v>
      </c>
      <c r="H56" s="286">
        <v>207.4</v>
      </c>
      <c r="I56" s="339"/>
      <c r="J56" s="339"/>
      <c r="K56" s="339"/>
      <c r="L56" s="339"/>
      <c r="M56" s="339"/>
      <c r="N56" s="339"/>
      <c r="O56" s="664"/>
      <c r="P56" s="664"/>
      <c r="Q56" s="340"/>
      <c r="R56" s="340"/>
      <c r="S56" s="318"/>
      <c r="T56" s="464"/>
      <c r="U56" s="464"/>
      <c r="V56" s="464"/>
      <c r="W56" s="463"/>
      <c r="X56" s="340"/>
      <c r="Y56" s="340">
        <v>94564</v>
      </c>
      <c r="Z56" s="340">
        <v>100001.14</v>
      </c>
      <c r="AA56" s="340">
        <f t="shared" ref="AA56:AA62" si="17">Y56/8*12</f>
        <v>141846</v>
      </c>
      <c r="AB56" s="340"/>
      <c r="AC56" s="340">
        <f t="shared" ref="AC56:AC62" si="18">AA56-Y56</f>
        <v>47282</v>
      </c>
      <c r="AD56" s="340">
        <f t="shared" ref="AD56:AD63" si="19">Z8-AD8</f>
        <v>41165.893194990233</v>
      </c>
      <c r="AE56" s="427">
        <f t="shared" ref="AE56:AE63" si="20">AA56</f>
        <v>141846</v>
      </c>
      <c r="AF56" s="427">
        <f t="shared" ref="AF56:AF63" si="21">Z56+AD56</f>
        <v>141167.03319499025</v>
      </c>
      <c r="AG56" s="340">
        <f t="shared" ref="AG56:AG63" si="22">AH56+AI56+AJ56+AK56+AL56+AM56+AN56+AO56+AP56+AQ56+AR56++AS56+AT56+AU56+AW56</f>
        <v>234785.31</v>
      </c>
      <c r="AH56" s="340"/>
      <c r="AI56" s="340">
        <v>23519.72</v>
      </c>
      <c r="AJ56" s="318">
        <v>120010</v>
      </c>
      <c r="AK56" s="318">
        <v>85000</v>
      </c>
      <c r="AL56" s="318"/>
      <c r="AM56" s="318">
        <v>5001.78</v>
      </c>
      <c r="AN56" s="318"/>
      <c r="AO56" s="318"/>
      <c r="AP56" s="318"/>
      <c r="AQ56" s="318">
        <v>849.81</v>
      </c>
      <c r="AR56" s="318"/>
      <c r="AS56" s="318">
        <v>404</v>
      </c>
      <c r="AT56" s="318"/>
      <c r="AU56" s="318"/>
      <c r="AV56" s="318"/>
      <c r="AW56" s="318"/>
      <c r="AX56" s="233">
        <f t="shared" ref="AX56:AX63" si="23">AE56-AG56</f>
        <v>-92939.31</v>
      </c>
      <c r="AY56" s="111"/>
      <c r="AZ56" s="111"/>
      <c r="BA56" s="111"/>
      <c r="BB56" s="111"/>
      <c r="BC56" s="111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</row>
    <row r="57" spans="1:72" x14ac:dyDescent="0.25">
      <c r="A57" s="5">
        <v>3</v>
      </c>
      <c r="B57" s="430" t="s">
        <v>8</v>
      </c>
      <c r="C57" s="285">
        <v>1986</v>
      </c>
      <c r="D57" s="285">
        <v>3</v>
      </c>
      <c r="E57" s="285">
        <v>24</v>
      </c>
      <c r="F57" s="350">
        <v>83</v>
      </c>
      <c r="G57" s="286">
        <v>1440.6</v>
      </c>
      <c r="H57" s="286">
        <v>174</v>
      </c>
      <c r="I57" s="339"/>
      <c r="J57" s="339"/>
      <c r="K57" s="339"/>
      <c r="L57" s="339"/>
      <c r="M57" s="339"/>
      <c r="N57" s="339"/>
      <c r="O57" s="664"/>
      <c r="P57" s="664"/>
      <c r="Q57" s="340"/>
      <c r="R57" s="340"/>
      <c r="S57" s="318"/>
      <c r="T57" s="464"/>
      <c r="U57" s="464"/>
      <c r="V57" s="464"/>
      <c r="W57" s="463"/>
      <c r="X57" s="340"/>
      <c r="Y57" s="340">
        <v>57624</v>
      </c>
      <c r="Z57" s="340">
        <v>67847.06</v>
      </c>
      <c r="AA57" s="340">
        <f t="shared" si="17"/>
        <v>86436</v>
      </c>
      <c r="AB57" s="340"/>
      <c r="AC57" s="340">
        <f t="shared" si="18"/>
        <v>28812</v>
      </c>
      <c r="AD57" s="340">
        <f t="shared" si="19"/>
        <v>27496.94555691554</v>
      </c>
      <c r="AE57" s="427">
        <f t="shared" si="20"/>
        <v>86436</v>
      </c>
      <c r="AF57" s="427">
        <f t="shared" si="21"/>
        <v>95344.005556915537</v>
      </c>
      <c r="AG57" s="340">
        <f t="shared" si="22"/>
        <v>162766.49999999997</v>
      </c>
      <c r="AH57" s="340">
        <f>1540+3625.93</f>
        <v>5165.93</v>
      </c>
      <c r="AI57" s="340">
        <v>23519.72</v>
      </c>
      <c r="AJ57" s="318">
        <v>85701</v>
      </c>
      <c r="AK57" s="318">
        <v>45000</v>
      </c>
      <c r="AL57" s="318"/>
      <c r="AM57" s="318"/>
      <c r="AN57" s="318"/>
      <c r="AO57" s="318"/>
      <c r="AP57" s="318"/>
      <c r="AQ57" s="318">
        <v>510.11</v>
      </c>
      <c r="AR57" s="318"/>
      <c r="AS57" s="318"/>
      <c r="AT57" s="318"/>
      <c r="AU57" s="318"/>
      <c r="AV57" s="318"/>
      <c r="AW57" s="318">
        <v>2869.74</v>
      </c>
      <c r="AX57" s="233">
        <f t="shared" si="23"/>
        <v>-76330.499999999971</v>
      </c>
      <c r="AY57" s="111"/>
      <c r="AZ57" s="111"/>
      <c r="BA57" s="111"/>
      <c r="BB57" s="111"/>
      <c r="BC57" s="111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107"/>
    </row>
    <row r="58" spans="1:72" x14ac:dyDescent="0.25">
      <c r="A58" s="5">
        <v>4</v>
      </c>
      <c r="B58" s="430" t="s">
        <v>9</v>
      </c>
      <c r="C58" s="285">
        <v>1992</v>
      </c>
      <c r="D58" s="285">
        <v>5</v>
      </c>
      <c r="E58" s="285">
        <v>60</v>
      </c>
      <c r="F58" s="351">
        <v>167</v>
      </c>
      <c r="G58" s="286">
        <v>3634.3</v>
      </c>
      <c r="H58" s="286">
        <v>468.3</v>
      </c>
      <c r="I58" s="339"/>
      <c r="J58" s="339"/>
      <c r="K58" s="339"/>
      <c r="L58" s="339"/>
      <c r="M58" s="339"/>
      <c r="N58" s="339"/>
      <c r="O58" s="664"/>
      <c r="P58" s="664"/>
      <c r="Q58" s="340"/>
      <c r="R58" s="340"/>
      <c r="S58" s="340"/>
      <c r="T58" s="340"/>
      <c r="U58" s="340"/>
      <c r="V58" s="340"/>
      <c r="W58" s="340"/>
      <c r="X58" s="340"/>
      <c r="Y58" s="340">
        <v>145400</v>
      </c>
      <c r="Z58" s="340">
        <v>166481.04999999999</v>
      </c>
      <c r="AA58" s="340">
        <f t="shared" si="17"/>
        <v>218100</v>
      </c>
      <c r="AB58" s="340"/>
      <c r="AC58" s="340">
        <f t="shared" si="18"/>
        <v>72700</v>
      </c>
      <c r="AD58" s="340">
        <f t="shared" si="19"/>
        <v>69433.995293845772</v>
      </c>
      <c r="AE58" s="427">
        <f t="shared" si="20"/>
        <v>218100</v>
      </c>
      <c r="AF58" s="427">
        <f t="shared" si="21"/>
        <v>235915.04529384576</v>
      </c>
      <c r="AG58" s="340">
        <f t="shared" si="22"/>
        <v>232686.19</v>
      </c>
      <c r="AH58" s="340">
        <v>2200</v>
      </c>
      <c r="AI58" s="340">
        <v>23519.72</v>
      </c>
      <c r="AJ58" s="318">
        <v>138769</v>
      </c>
      <c r="AK58" s="318">
        <v>45000</v>
      </c>
      <c r="AL58" s="318"/>
      <c r="AM58" s="318"/>
      <c r="AN58" s="318"/>
      <c r="AO58" s="318"/>
      <c r="AP58" s="318"/>
      <c r="AQ58" s="318"/>
      <c r="AR58" s="318"/>
      <c r="AS58" s="318"/>
      <c r="AT58" s="318">
        <v>23197.47</v>
      </c>
      <c r="AU58" s="318"/>
      <c r="AV58" s="318"/>
      <c r="AW58" s="318"/>
      <c r="AX58" s="233">
        <f t="shared" si="23"/>
        <v>-14586.190000000002</v>
      </c>
      <c r="AY58" s="111"/>
      <c r="AZ58" s="111"/>
      <c r="BA58" s="111"/>
      <c r="BB58" s="111"/>
      <c r="BC58" s="111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  <c r="BQ58" s="107"/>
      <c r="BR58" s="107"/>
      <c r="BS58" s="107"/>
      <c r="BT58" s="107"/>
    </row>
    <row r="59" spans="1:72" x14ac:dyDescent="0.25">
      <c r="A59" s="5">
        <v>5</v>
      </c>
      <c r="B59" s="430" t="s">
        <v>11</v>
      </c>
      <c r="C59" s="285">
        <v>1994</v>
      </c>
      <c r="D59" s="285">
        <v>5</v>
      </c>
      <c r="E59" s="285">
        <v>60</v>
      </c>
      <c r="F59" s="337">
        <v>131</v>
      </c>
      <c r="G59" s="286">
        <v>3641.8</v>
      </c>
      <c r="H59" s="286">
        <v>468.3</v>
      </c>
      <c r="I59" s="339"/>
      <c r="J59" s="339"/>
      <c r="K59" s="339"/>
      <c r="L59" s="339"/>
      <c r="M59" s="339"/>
      <c r="N59" s="339"/>
      <c r="O59" s="664"/>
      <c r="P59" s="664"/>
      <c r="Q59" s="340"/>
      <c r="R59" s="340"/>
      <c r="S59" s="340"/>
      <c r="T59" s="340"/>
      <c r="U59" s="340"/>
      <c r="V59" s="340"/>
      <c r="W59" s="340"/>
      <c r="X59" s="340"/>
      <c r="Y59" s="340">
        <v>145648</v>
      </c>
      <c r="Z59" s="340">
        <v>165525.13</v>
      </c>
      <c r="AA59" s="340">
        <f t="shared" si="17"/>
        <v>218472</v>
      </c>
      <c r="AB59" s="340"/>
      <c r="AC59" s="340">
        <f t="shared" si="18"/>
        <v>72824</v>
      </c>
      <c r="AD59" s="340">
        <f t="shared" si="19"/>
        <v>69093.232291666674</v>
      </c>
      <c r="AE59" s="427">
        <f t="shared" si="20"/>
        <v>218472</v>
      </c>
      <c r="AF59" s="427">
        <f t="shared" si="21"/>
        <v>234618.36229166668</v>
      </c>
      <c r="AG59" s="340">
        <f t="shared" si="22"/>
        <v>230939.86000000002</v>
      </c>
      <c r="AH59" s="340">
        <v>18090.48</v>
      </c>
      <c r="AI59" s="340">
        <v>23519.72</v>
      </c>
      <c r="AJ59" s="318">
        <v>138769</v>
      </c>
      <c r="AK59" s="318">
        <v>45000</v>
      </c>
      <c r="AL59" s="318"/>
      <c r="AM59" s="318"/>
      <c r="AN59" s="318"/>
      <c r="AO59" s="318"/>
      <c r="AP59" s="318">
        <v>3072.28</v>
      </c>
      <c r="AQ59" s="318">
        <v>283.92</v>
      </c>
      <c r="AR59" s="318">
        <v>2204.46</v>
      </c>
      <c r="AS59" s="318"/>
      <c r="AT59" s="318"/>
      <c r="AU59" s="318"/>
      <c r="AV59" s="318"/>
      <c r="AW59" s="318"/>
      <c r="AX59" s="233">
        <f t="shared" si="23"/>
        <v>-12467.860000000015</v>
      </c>
      <c r="AY59" s="111"/>
      <c r="AZ59" s="111"/>
      <c r="BA59" s="111"/>
      <c r="BB59" s="111"/>
      <c r="BC59" s="111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</row>
    <row r="60" spans="1:72" x14ac:dyDescent="0.25">
      <c r="A60" s="5">
        <v>6</v>
      </c>
      <c r="B60" s="430" t="s">
        <v>10</v>
      </c>
      <c r="C60" s="285">
        <v>1981</v>
      </c>
      <c r="D60" s="285">
        <v>5</v>
      </c>
      <c r="E60" s="285">
        <v>60</v>
      </c>
      <c r="F60" s="337">
        <v>159</v>
      </c>
      <c r="G60" s="286">
        <v>3289.5</v>
      </c>
      <c r="H60" s="286">
        <v>397</v>
      </c>
      <c r="I60" s="339"/>
      <c r="J60" s="339"/>
      <c r="K60" s="339"/>
      <c r="L60" s="339"/>
      <c r="M60" s="339"/>
      <c r="N60" s="339"/>
      <c r="O60" s="664"/>
      <c r="P60" s="664"/>
      <c r="Q60" s="340"/>
      <c r="R60" s="340"/>
      <c r="S60" s="340"/>
      <c r="T60" s="340"/>
      <c r="U60" s="340"/>
      <c r="V60" s="340"/>
      <c r="W60" s="340"/>
      <c r="X60" s="340"/>
      <c r="Y60" s="340">
        <v>131684</v>
      </c>
      <c r="Z60" s="340">
        <v>148718.16</v>
      </c>
      <c r="AA60" s="340">
        <f t="shared" si="17"/>
        <v>197526</v>
      </c>
      <c r="AB60" s="340"/>
      <c r="AC60" s="340">
        <f t="shared" si="18"/>
        <v>65842</v>
      </c>
      <c r="AD60" s="340">
        <f t="shared" si="19"/>
        <v>61670.029577385401</v>
      </c>
      <c r="AE60" s="427">
        <f t="shared" si="20"/>
        <v>197526</v>
      </c>
      <c r="AF60" s="427">
        <f t="shared" si="21"/>
        <v>210388.1895773854</v>
      </c>
      <c r="AG60" s="340">
        <f t="shared" si="22"/>
        <v>231460.15</v>
      </c>
      <c r="AH60" s="340">
        <v>7090.47</v>
      </c>
      <c r="AI60" s="340">
        <v>31359.68</v>
      </c>
      <c r="AJ60" s="318">
        <v>120010</v>
      </c>
      <c r="AK60" s="318">
        <v>73000</v>
      </c>
      <c r="AL60" s="318"/>
      <c r="AM60" s="318"/>
      <c r="AN60" s="318"/>
      <c r="AO60" s="318"/>
      <c r="AP60" s="318"/>
      <c r="AQ60" s="318"/>
      <c r="AR60" s="318"/>
      <c r="AS60" s="318"/>
      <c r="AT60" s="318"/>
      <c r="AU60" s="318"/>
      <c r="AV60" s="318"/>
      <c r="AW60" s="318"/>
      <c r="AX60" s="233">
        <f t="shared" si="23"/>
        <v>-33934.149999999994</v>
      </c>
      <c r="AY60" s="111"/>
      <c r="AZ60" s="111"/>
      <c r="BA60" s="111"/>
      <c r="BB60" s="111"/>
      <c r="BC60" s="111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</row>
    <row r="61" spans="1:72" x14ac:dyDescent="0.25">
      <c r="A61" s="117">
        <v>7</v>
      </c>
      <c r="B61" s="430" t="s">
        <v>187</v>
      </c>
      <c r="C61" s="285">
        <v>1993</v>
      </c>
      <c r="D61" s="285">
        <v>5</v>
      </c>
      <c r="E61" s="285">
        <v>60</v>
      </c>
      <c r="F61" s="337">
        <v>134</v>
      </c>
      <c r="G61" s="286">
        <v>3681.6</v>
      </c>
      <c r="H61" s="286">
        <v>485</v>
      </c>
      <c r="I61" s="339"/>
      <c r="J61" s="339"/>
      <c r="K61" s="339"/>
      <c r="L61" s="339"/>
      <c r="M61" s="339"/>
      <c r="N61" s="339"/>
      <c r="O61" s="664"/>
      <c r="P61" s="664"/>
      <c r="Q61" s="340"/>
      <c r="R61" s="340"/>
      <c r="S61" s="340"/>
      <c r="T61" s="340"/>
      <c r="U61" s="340"/>
      <c r="V61" s="340"/>
      <c r="W61" s="340"/>
      <c r="X61" s="340"/>
      <c r="Y61" s="340">
        <v>147333.6</v>
      </c>
      <c r="Z61" s="340">
        <v>161025.12</v>
      </c>
      <c r="AA61" s="340">
        <f t="shared" si="17"/>
        <v>221000.40000000002</v>
      </c>
      <c r="AB61" s="340"/>
      <c r="AC61" s="340">
        <f t="shared" si="18"/>
        <v>73666.800000000017</v>
      </c>
      <c r="AD61" s="340">
        <f t="shared" si="19"/>
        <v>68996.910093096201</v>
      </c>
      <c r="AE61" s="427">
        <f t="shared" si="20"/>
        <v>221000.40000000002</v>
      </c>
      <c r="AF61" s="427">
        <f t="shared" si="21"/>
        <v>230022.0300930962</v>
      </c>
      <c r="AG61" s="340">
        <f t="shared" si="22"/>
        <v>241149.16999999998</v>
      </c>
      <c r="AH61" s="340">
        <v>5770.47</v>
      </c>
      <c r="AI61" s="340">
        <v>23519.72</v>
      </c>
      <c r="AJ61" s="318">
        <v>5712.78</v>
      </c>
      <c r="AK61" s="318">
        <v>135000</v>
      </c>
      <c r="AL61" s="318"/>
      <c r="AM61" s="318"/>
      <c r="AN61" s="318"/>
      <c r="AO61" s="318"/>
      <c r="AP61" s="318"/>
      <c r="AQ61" s="318"/>
      <c r="AR61" s="318"/>
      <c r="AS61" s="318"/>
      <c r="AT61" s="318"/>
      <c r="AU61" s="318">
        <v>71146.2</v>
      </c>
      <c r="AV61" s="318"/>
      <c r="AW61" s="318"/>
      <c r="AX61" s="233">
        <f t="shared" si="23"/>
        <v>-20148.76999999996</v>
      </c>
      <c r="AY61" s="111"/>
      <c r="AZ61" s="111"/>
      <c r="BA61" s="111"/>
      <c r="BB61" s="111"/>
      <c r="BC61" s="111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</row>
    <row r="62" spans="1:72" x14ac:dyDescent="0.25">
      <c r="A62" s="117">
        <v>8</v>
      </c>
      <c r="B62" s="430" t="s">
        <v>226</v>
      </c>
      <c r="C62" s="285"/>
      <c r="D62" s="285"/>
      <c r="E62" s="285"/>
      <c r="F62" s="337"/>
      <c r="G62" s="286">
        <v>3360</v>
      </c>
      <c r="H62" s="286"/>
      <c r="I62" s="339"/>
      <c r="J62" s="339"/>
      <c r="K62" s="339"/>
      <c r="L62" s="339"/>
      <c r="M62" s="339"/>
      <c r="N62" s="339"/>
      <c r="O62" s="664"/>
      <c r="P62" s="664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>
        <f t="shared" si="17"/>
        <v>0</v>
      </c>
      <c r="AB62" s="340"/>
      <c r="AC62" s="340">
        <f t="shared" si="18"/>
        <v>0</v>
      </c>
      <c r="AD62" s="340">
        <f t="shared" si="19"/>
        <v>0</v>
      </c>
      <c r="AE62" s="427">
        <f t="shared" si="20"/>
        <v>0</v>
      </c>
      <c r="AF62" s="427">
        <f t="shared" si="21"/>
        <v>0</v>
      </c>
      <c r="AG62" s="340">
        <f t="shared" si="22"/>
        <v>0</v>
      </c>
      <c r="AH62" s="340"/>
      <c r="AI62" s="340"/>
      <c r="AJ62" s="318"/>
      <c r="AK62" s="318"/>
      <c r="AL62" s="318"/>
      <c r="AM62" s="318"/>
      <c r="AN62" s="318"/>
      <c r="AO62" s="318"/>
      <c r="AP62" s="318"/>
      <c r="AQ62" s="318"/>
      <c r="AR62" s="318"/>
      <c r="AS62" s="318"/>
      <c r="AT62" s="318"/>
      <c r="AU62" s="318"/>
      <c r="AV62" s="318"/>
      <c r="AW62" s="318"/>
      <c r="AX62" s="233">
        <f t="shared" si="23"/>
        <v>0</v>
      </c>
      <c r="AY62" s="111"/>
      <c r="AZ62" s="111"/>
      <c r="BA62" s="111"/>
      <c r="BB62" s="111"/>
      <c r="BC62" s="111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</row>
    <row r="63" spans="1:72" x14ac:dyDescent="0.25">
      <c r="A63" s="117">
        <v>9</v>
      </c>
      <c r="B63" s="430" t="s">
        <v>351</v>
      </c>
      <c r="C63" s="285"/>
      <c r="D63" s="285"/>
      <c r="E63" s="285"/>
      <c r="F63" s="337"/>
      <c r="G63" s="286"/>
      <c r="H63" s="286"/>
      <c r="I63" s="339"/>
      <c r="J63" s="339"/>
      <c r="K63" s="339"/>
      <c r="L63" s="339"/>
      <c r="M63" s="339"/>
      <c r="N63" s="339"/>
      <c r="O63" s="664"/>
      <c r="P63" s="664"/>
      <c r="Q63" s="340"/>
      <c r="R63" s="340"/>
      <c r="S63" s="340"/>
      <c r="T63" s="340"/>
      <c r="U63" s="340"/>
      <c r="V63" s="340"/>
      <c r="W63" s="340"/>
      <c r="X63" s="340"/>
      <c r="Y63" s="340">
        <v>9214.7999999999993</v>
      </c>
      <c r="Z63" s="340"/>
      <c r="AA63" s="340"/>
      <c r="AB63" s="340"/>
      <c r="AC63" s="340"/>
      <c r="AD63" s="340">
        <f t="shared" si="19"/>
        <v>0</v>
      </c>
      <c r="AE63" s="427">
        <f t="shared" si="20"/>
        <v>0</v>
      </c>
      <c r="AF63" s="427">
        <f t="shared" si="21"/>
        <v>0</v>
      </c>
      <c r="AG63" s="340">
        <f t="shared" si="22"/>
        <v>0</v>
      </c>
      <c r="AH63" s="340"/>
      <c r="AI63" s="340"/>
      <c r="AJ63" s="318"/>
      <c r="AK63" s="318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233">
        <f t="shared" si="23"/>
        <v>0</v>
      </c>
      <c r="AY63" s="111"/>
      <c r="AZ63" s="111"/>
      <c r="BA63" s="111"/>
      <c r="BB63" s="111"/>
      <c r="BC63" s="111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</row>
    <row r="64" spans="1:72" x14ac:dyDescent="0.25">
      <c r="A64" s="4"/>
      <c r="B64" s="431" t="s">
        <v>12</v>
      </c>
      <c r="C64" s="285"/>
      <c r="D64" s="285"/>
      <c r="E64" s="343">
        <f>SUM(E55:E61)</f>
        <v>354</v>
      </c>
      <c r="F64" s="343">
        <f>SUM(F55:F61)</f>
        <v>923</v>
      </c>
      <c r="G64" s="344">
        <f>SUM(G55:G62)</f>
        <v>23777.899999999998</v>
      </c>
      <c r="H64" s="344">
        <f>SUM(H55:H61)</f>
        <v>2407.3999999999996</v>
      </c>
      <c r="I64" s="428"/>
      <c r="J64" s="428"/>
      <c r="K64" s="428"/>
      <c r="L64" s="428"/>
      <c r="M64" s="428"/>
      <c r="N64" s="428"/>
      <c r="O64" s="665"/>
      <c r="P64" s="665"/>
      <c r="Q64" s="345"/>
      <c r="R64" s="345"/>
      <c r="S64" s="345"/>
      <c r="T64" s="345"/>
      <c r="U64" s="345"/>
      <c r="V64" s="345"/>
      <c r="W64" s="345"/>
      <c r="X64" s="345"/>
      <c r="Y64" s="659">
        <f>SUM(Y55:Y63)</f>
        <v>826176.4</v>
      </c>
      <c r="Z64" s="659">
        <f t="shared" ref="Z64:AF64" si="24">SUM(Z55:Z63)</f>
        <v>915340.53</v>
      </c>
      <c r="AA64" s="659">
        <f t="shared" si="24"/>
        <v>1225442.3999999999</v>
      </c>
      <c r="AB64" s="659">
        <f t="shared" si="24"/>
        <v>0</v>
      </c>
      <c r="AC64" s="659">
        <f t="shared" si="24"/>
        <v>408480.80000000005</v>
      </c>
      <c r="AD64" s="659">
        <f t="shared" si="24"/>
        <v>381538.92435061879</v>
      </c>
      <c r="AE64" s="659">
        <f t="shared" si="24"/>
        <v>1225442.3999999999</v>
      </c>
      <c r="AF64" s="659">
        <f t="shared" si="24"/>
        <v>1296879.4543506186</v>
      </c>
      <c r="AG64" s="659">
        <f>SUM(AG55:AG63)</f>
        <v>1602134.44</v>
      </c>
      <c r="AH64" s="648">
        <f>SUM(AH55:AH63)</f>
        <v>42937.35</v>
      </c>
      <c r="AI64" s="648">
        <f t="shared" ref="AI64:AX64" si="25">SUM(AI55:AI63)</f>
        <v>172478</v>
      </c>
      <c r="AJ64" s="648">
        <f t="shared" si="25"/>
        <v>728981.78</v>
      </c>
      <c r="AK64" s="648">
        <f t="shared" si="25"/>
        <v>513000</v>
      </c>
      <c r="AL64" s="648">
        <f t="shared" si="25"/>
        <v>0</v>
      </c>
      <c r="AM64" s="648">
        <f t="shared" si="25"/>
        <v>5001.78</v>
      </c>
      <c r="AN64" s="648">
        <f t="shared" si="25"/>
        <v>7393.5</v>
      </c>
      <c r="AO64" s="648">
        <f t="shared" si="25"/>
        <v>21479.31</v>
      </c>
      <c r="AP64" s="648">
        <f t="shared" si="25"/>
        <v>7457.93</v>
      </c>
      <c r="AQ64" s="648">
        <f t="shared" si="25"/>
        <v>3582.92</v>
      </c>
      <c r="AR64" s="648">
        <f t="shared" si="25"/>
        <v>2204.46</v>
      </c>
      <c r="AS64" s="648">
        <f t="shared" si="25"/>
        <v>404</v>
      </c>
      <c r="AT64" s="648">
        <f t="shared" si="25"/>
        <v>23197.47</v>
      </c>
      <c r="AU64" s="648">
        <f t="shared" si="25"/>
        <v>71146.2</v>
      </c>
      <c r="AV64" s="648"/>
      <c r="AW64" s="648">
        <f t="shared" si="25"/>
        <v>2869.74</v>
      </c>
      <c r="AX64" s="648">
        <f t="shared" si="25"/>
        <v>-376692.04</v>
      </c>
      <c r="AY64" s="111"/>
      <c r="AZ64" s="111"/>
      <c r="BA64" s="111"/>
      <c r="BB64" s="111"/>
      <c r="BC64" s="111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</row>
    <row r="65" spans="1:72" x14ac:dyDescent="0.25">
      <c r="A65" s="80"/>
      <c r="B65" s="107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352"/>
      <c r="AI65" s="353"/>
      <c r="AJ65" s="354"/>
      <c r="AK65" s="142"/>
      <c r="AL65" s="288"/>
      <c r="AM65" s="288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8"/>
      <c r="AY65" s="111"/>
      <c r="AZ65" s="111"/>
      <c r="BA65" s="111"/>
      <c r="BB65" s="111"/>
      <c r="BC65" s="111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</row>
    <row r="66" spans="1:72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11"/>
      <c r="AZ66" s="111"/>
      <c r="BA66" s="111"/>
      <c r="BB66" s="111"/>
      <c r="BC66" s="111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</row>
    <row r="67" spans="1:72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11"/>
      <c r="AZ67" s="111"/>
      <c r="BA67" s="111"/>
      <c r="BB67" s="111"/>
      <c r="BC67" s="111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</row>
    <row r="68" spans="1:72" x14ac:dyDescent="0.2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</row>
    <row r="69" spans="1:72" x14ac:dyDescent="0.2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</row>
    <row r="70" spans="1:72" x14ac:dyDescent="0.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</row>
    <row r="71" spans="1:72" x14ac:dyDescent="0.2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</row>
    <row r="72" spans="1:72" x14ac:dyDescent="0.2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</row>
    <row r="73" spans="1:72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</row>
    <row r="74" spans="1:72" x14ac:dyDescent="0.2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</row>
    <row r="75" spans="1:72" x14ac:dyDescent="0.2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</row>
    <row r="76" spans="1:72" x14ac:dyDescent="0.2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</row>
    <row r="77" spans="1:72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</row>
    <row r="78" spans="1:72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</row>
    <row r="79" spans="1:72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</row>
    <row r="80" spans="1:72" x14ac:dyDescent="0.2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</row>
    <row r="81" spans="1:78" x14ac:dyDescent="0.2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</row>
    <row r="82" spans="1:78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</row>
    <row r="83" spans="1:78" x14ac:dyDescent="0.2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</row>
    <row r="84" spans="1:78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</row>
    <row r="85" spans="1:78" x14ac:dyDescent="0.2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</row>
    <row r="86" spans="1:78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</row>
    <row r="87" spans="1:78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</row>
    <row r="88" spans="1:78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</row>
    <row r="89" spans="1:78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</row>
    <row r="90" spans="1:78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</row>
    <row r="91" spans="1:78" x14ac:dyDescent="0.2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</row>
    <row r="92" spans="1:78" x14ac:dyDescent="0.2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</row>
    <row r="93" spans="1:78" ht="18.75" customHeight="1" x14ac:dyDescent="0.2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</row>
    <row r="94" spans="1:78" ht="18.75" x14ac:dyDescent="0.3">
      <c r="B94" s="901"/>
      <c r="C94" s="902"/>
      <c r="D94" s="902"/>
      <c r="E94" s="902"/>
      <c r="F94" s="902"/>
    </row>
    <row r="95" spans="1:78" x14ac:dyDescent="0.25"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</row>
    <row r="96" spans="1:78" x14ac:dyDescent="0.25">
      <c r="A96" s="858"/>
      <c r="B96" s="858"/>
      <c r="C96" s="858"/>
      <c r="D96" s="858"/>
      <c r="E96" s="858"/>
      <c r="F96" s="858"/>
      <c r="G96" s="858"/>
      <c r="H96" s="858"/>
      <c r="I96" s="683"/>
      <c r="J96" s="683"/>
      <c r="K96" s="421"/>
      <c r="L96" s="421"/>
      <c r="M96" s="421"/>
      <c r="N96" s="421"/>
      <c r="O96" s="421"/>
      <c r="P96" s="421"/>
      <c r="Q96" s="865"/>
      <c r="R96" s="866"/>
      <c r="S96" s="423"/>
      <c r="T96" s="423"/>
      <c r="U96" s="439"/>
      <c r="V96" s="439"/>
      <c r="W96" s="451"/>
      <c r="X96" s="451"/>
      <c r="Y96" s="654"/>
      <c r="Z96" s="654"/>
      <c r="AA96" s="654"/>
      <c r="AB96" s="654"/>
      <c r="AC96" s="654"/>
      <c r="AD96" s="654"/>
      <c r="AE96" s="423"/>
      <c r="AF96" s="423"/>
      <c r="AG96" s="888"/>
      <c r="AH96" s="905"/>
      <c r="AI96" s="905"/>
      <c r="AJ96" s="898"/>
      <c r="AK96" s="898"/>
      <c r="AL96" s="898"/>
      <c r="AM96" s="898"/>
      <c r="AN96" s="898"/>
      <c r="AO96" s="660"/>
      <c r="AP96" s="898"/>
      <c r="AQ96" s="454"/>
      <c r="AR96" s="454"/>
      <c r="AS96" s="454"/>
      <c r="AT96" s="454"/>
      <c r="AU96" s="454"/>
      <c r="AV96" s="454"/>
      <c r="AW96" s="454"/>
      <c r="AX96" s="125"/>
      <c r="AY96" s="126"/>
      <c r="AZ96" s="126"/>
      <c r="BA96" s="126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</row>
    <row r="97" spans="1:78" x14ac:dyDescent="0.25">
      <c r="A97" s="859"/>
      <c r="B97" s="859"/>
      <c r="C97" s="859"/>
      <c r="D97" s="859"/>
      <c r="E97" s="859"/>
      <c r="F97" s="859"/>
      <c r="G97" s="859"/>
      <c r="H97" s="859"/>
      <c r="I97" s="214"/>
      <c r="J97" s="214"/>
      <c r="K97" s="214"/>
      <c r="L97" s="214"/>
      <c r="M97" s="214"/>
      <c r="N97" s="214"/>
      <c r="O97" s="214"/>
      <c r="P97" s="214"/>
      <c r="Q97" s="82"/>
      <c r="R97" s="424"/>
      <c r="S97" s="420"/>
      <c r="T97" s="420"/>
      <c r="U97" s="437"/>
      <c r="V97" s="437"/>
      <c r="W97" s="450"/>
      <c r="X97" s="450"/>
      <c r="Y97" s="653"/>
      <c r="Z97" s="653"/>
      <c r="AA97" s="653"/>
      <c r="AB97" s="653"/>
      <c r="AC97" s="653"/>
      <c r="AD97" s="653"/>
      <c r="AE97" s="420"/>
      <c r="AF97" s="420"/>
      <c r="AG97" s="889"/>
      <c r="AH97" s="906"/>
      <c r="AI97" s="906"/>
      <c r="AJ97" s="899"/>
      <c r="AK97" s="899"/>
      <c r="AL97" s="899"/>
      <c r="AM97" s="899"/>
      <c r="AN97" s="899"/>
      <c r="AO97" s="661"/>
      <c r="AP97" s="899"/>
      <c r="AQ97" s="449"/>
      <c r="AR97" s="449"/>
      <c r="AS97" s="449"/>
      <c r="AT97" s="449"/>
      <c r="AU97" s="449"/>
      <c r="AV97" s="449"/>
      <c r="AW97" s="449"/>
      <c r="AX97" s="105"/>
      <c r="AY97" s="105"/>
      <c r="AZ97" s="105"/>
      <c r="BA97" s="105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</row>
    <row r="98" spans="1:78" x14ac:dyDescent="0.25">
      <c r="A98" s="2"/>
      <c r="B98" s="53"/>
      <c r="C98" s="3"/>
      <c r="D98" s="3"/>
      <c r="E98" s="6"/>
      <c r="F98" s="118"/>
      <c r="G98" s="24"/>
      <c r="H98" s="24"/>
      <c r="I98" s="215"/>
      <c r="J98" s="215"/>
      <c r="K98" s="215"/>
      <c r="L98" s="215"/>
      <c r="M98" s="215"/>
      <c r="N98" s="215"/>
      <c r="O98" s="215"/>
      <c r="P98" s="215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23"/>
      <c r="AY98" s="123"/>
      <c r="AZ98" s="123"/>
      <c r="BA98" s="137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</row>
    <row r="99" spans="1:78" x14ac:dyDescent="0.25">
      <c r="A99" s="5"/>
      <c r="B99" s="36"/>
      <c r="C99" s="6"/>
      <c r="D99" s="6"/>
      <c r="E99" s="6"/>
      <c r="F99" s="118"/>
      <c r="G99" s="17"/>
      <c r="H99" s="17"/>
      <c r="I99" s="215"/>
      <c r="J99" s="215"/>
      <c r="K99" s="215"/>
      <c r="L99" s="215"/>
      <c r="M99" s="215"/>
      <c r="N99" s="215"/>
      <c r="O99" s="215"/>
      <c r="P99" s="215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23"/>
      <c r="AY99" s="123"/>
      <c r="AZ99" s="123"/>
      <c r="BA99" s="137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</row>
    <row r="100" spans="1:78" x14ac:dyDescent="0.25">
      <c r="A100" s="5"/>
      <c r="B100" s="36"/>
      <c r="C100" s="6"/>
      <c r="D100" s="6"/>
      <c r="E100" s="6"/>
      <c r="F100" s="118"/>
      <c r="G100" s="17"/>
      <c r="H100" s="17"/>
      <c r="I100" s="215"/>
      <c r="J100" s="215"/>
      <c r="K100" s="215"/>
      <c r="L100" s="215"/>
      <c r="M100" s="215"/>
      <c r="N100" s="215"/>
      <c r="O100" s="215"/>
      <c r="P100" s="215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23"/>
      <c r="AY100" s="123"/>
      <c r="AZ100" s="123"/>
      <c r="BA100" s="137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</row>
    <row r="101" spans="1:78" x14ac:dyDescent="0.25">
      <c r="A101" s="5"/>
      <c r="B101" s="36"/>
      <c r="C101" s="6"/>
      <c r="D101" s="6"/>
      <c r="E101" s="6"/>
      <c r="F101" s="118"/>
      <c r="G101" s="17"/>
      <c r="H101" s="17"/>
      <c r="I101" s="215"/>
      <c r="J101" s="215"/>
      <c r="K101" s="215"/>
      <c r="L101" s="215"/>
      <c r="M101" s="215"/>
      <c r="N101" s="215"/>
      <c r="O101" s="215"/>
      <c r="P101" s="215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23"/>
      <c r="AY101" s="123"/>
      <c r="AZ101" s="123"/>
      <c r="BA101" s="137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</row>
    <row r="102" spans="1:78" x14ac:dyDescent="0.25">
      <c r="A102" s="5"/>
      <c r="B102" s="36"/>
      <c r="C102" s="6"/>
      <c r="D102" s="6"/>
      <c r="E102" s="6"/>
      <c r="F102" s="118"/>
      <c r="G102" s="17"/>
      <c r="H102" s="17"/>
      <c r="I102" s="215"/>
      <c r="J102" s="215"/>
      <c r="K102" s="215"/>
      <c r="L102" s="215"/>
      <c r="M102" s="215"/>
      <c r="N102" s="215"/>
      <c r="O102" s="215"/>
      <c r="P102" s="215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23"/>
      <c r="AY102" s="123"/>
      <c r="AZ102" s="123"/>
      <c r="BA102" s="137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</row>
    <row r="103" spans="1:78" x14ac:dyDescent="0.25">
      <c r="A103" s="5"/>
      <c r="B103" s="36"/>
      <c r="C103" s="6"/>
      <c r="D103" s="6"/>
      <c r="E103" s="6"/>
      <c r="F103" s="118"/>
      <c r="G103" s="17"/>
      <c r="H103" s="17"/>
      <c r="I103" s="215"/>
      <c r="J103" s="215"/>
      <c r="K103" s="215"/>
      <c r="L103" s="215"/>
      <c r="M103" s="215"/>
      <c r="N103" s="215"/>
      <c r="O103" s="215"/>
      <c r="P103" s="215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23"/>
      <c r="AY103" s="123"/>
      <c r="AZ103" s="123"/>
      <c r="BA103" s="137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</row>
    <row r="104" spans="1:78" x14ac:dyDescent="0.25">
      <c r="A104" s="117"/>
      <c r="B104" s="36"/>
      <c r="C104" s="6"/>
      <c r="D104" s="6"/>
      <c r="E104" s="6"/>
      <c r="F104" s="118"/>
      <c r="G104" s="17"/>
      <c r="H104" s="17"/>
      <c r="I104" s="215"/>
      <c r="J104" s="215"/>
      <c r="K104" s="215"/>
      <c r="L104" s="215"/>
      <c r="M104" s="215"/>
      <c r="N104" s="215"/>
      <c r="O104" s="215"/>
      <c r="P104" s="215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23"/>
      <c r="AY104" s="123"/>
      <c r="AZ104" s="123"/>
      <c r="BA104" s="137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</row>
    <row r="105" spans="1:78" x14ac:dyDescent="0.25">
      <c r="A105" s="4"/>
      <c r="B105" s="4"/>
      <c r="C105" s="4"/>
      <c r="D105" s="4"/>
      <c r="E105" s="45"/>
      <c r="F105" s="45"/>
      <c r="G105" s="85"/>
      <c r="H105" s="85"/>
      <c r="I105" s="216"/>
      <c r="J105" s="216"/>
      <c r="K105" s="216"/>
      <c r="L105" s="216"/>
      <c r="M105" s="216"/>
      <c r="N105" s="216"/>
      <c r="O105" s="216"/>
      <c r="P105" s="216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39"/>
      <c r="AI105" s="79"/>
      <c r="AJ105" s="39"/>
      <c r="AK105" s="44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124"/>
      <c r="AY105" s="124"/>
      <c r="AZ105" s="124"/>
      <c r="BA105" s="138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</row>
    <row r="106" spans="1:78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</row>
    <row r="107" spans="1:78" x14ac:dyDescent="0.25">
      <c r="A107" s="128"/>
      <c r="B107" s="127"/>
      <c r="C107" s="127"/>
      <c r="D107" s="9"/>
      <c r="E107" s="128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</row>
    <row r="108" spans="1:78" x14ac:dyDescent="0.25">
      <c r="A108" s="9"/>
      <c r="B108" s="9"/>
      <c r="C108" s="9"/>
      <c r="D108" s="9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</row>
    <row r="109" spans="1:78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</row>
    <row r="110" spans="1:78" x14ac:dyDescent="0.25">
      <c r="A110" s="9"/>
      <c r="B110" s="9"/>
      <c r="C110" s="9"/>
      <c r="D110" s="9"/>
      <c r="E110" s="900"/>
      <c r="F110" s="900"/>
      <c r="G110" s="900"/>
      <c r="H110" s="900"/>
      <c r="I110" s="681"/>
      <c r="J110" s="681"/>
      <c r="K110" s="419"/>
      <c r="L110" s="419"/>
      <c r="M110" s="419"/>
      <c r="N110" s="419"/>
      <c r="O110" s="419"/>
      <c r="P110" s="419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</row>
    <row r="111" spans="1:78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</row>
    <row r="112" spans="1:78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</row>
    <row r="113" spans="1:49" x14ac:dyDescent="0.25">
      <c r="A113" s="9"/>
      <c r="B113" s="9"/>
      <c r="C113" s="9"/>
      <c r="D113" s="9"/>
      <c r="E113" s="900"/>
      <c r="F113" s="900"/>
      <c r="G113" s="900"/>
      <c r="H113" s="900"/>
      <c r="I113" s="681"/>
      <c r="J113" s="681"/>
      <c r="K113" s="419"/>
      <c r="L113" s="419"/>
      <c r="M113" s="419"/>
      <c r="N113" s="419"/>
      <c r="O113" s="419"/>
      <c r="P113" s="419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</row>
    <row r="114" spans="1:49" x14ac:dyDescent="0.25">
      <c r="A114" s="9"/>
      <c r="B114" s="60"/>
      <c r="C114" s="9"/>
      <c r="D114" s="9"/>
      <c r="E114" s="900"/>
      <c r="F114" s="900"/>
      <c r="G114" s="900"/>
      <c r="H114" s="900"/>
      <c r="I114" s="681"/>
      <c r="J114" s="681"/>
      <c r="K114" s="419"/>
      <c r="L114" s="419"/>
      <c r="M114" s="419"/>
      <c r="N114" s="419"/>
      <c r="O114" s="419"/>
      <c r="P114" s="419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</row>
    <row r="115" spans="1:49" x14ac:dyDescent="0.25">
      <c r="A115" s="9"/>
      <c r="B115" s="9"/>
      <c r="C115" s="9"/>
      <c r="D115" s="9"/>
      <c r="E115" s="900"/>
      <c r="F115" s="900"/>
      <c r="G115" s="900"/>
      <c r="H115" s="900"/>
      <c r="I115" s="681"/>
      <c r="J115" s="681"/>
      <c r="K115" s="419"/>
      <c r="L115" s="419"/>
      <c r="M115" s="419"/>
      <c r="N115" s="419"/>
      <c r="O115" s="419"/>
      <c r="P115" s="419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</row>
    <row r="116" spans="1:49" x14ac:dyDescent="0.25">
      <c r="A116" s="9"/>
      <c r="B116" s="9"/>
      <c r="C116" s="9"/>
      <c r="D116" s="9"/>
      <c r="E116" s="900"/>
      <c r="F116" s="900"/>
      <c r="G116" s="900"/>
      <c r="H116" s="900"/>
      <c r="I116" s="681"/>
      <c r="J116" s="681"/>
      <c r="K116" s="419"/>
      <c r="L116" s="419"/>
      <c r="M116" s="419"/>
      <c r="N116" s="419"/>
      <c r="O116" s="419"/>
      <c r="P116" s="419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</row>
    <row r="117" spans="1:49" x14ac:dyDescent="0.25">
      <c r="A117" s="9"/>
      <c r="B117" s="9"/>
      <c r="C117" s="9"/>
      <c r="D117" s="9"/>
      <c r="E117" s="900"/>
      <c r="F117" s="900"/>
      <c r="G117" s="900"/>
      <c r="H117" s="900"/>
      <c r="I117" s="681"/>
      <c r="J117" s="681"/>
      <c r="K117" s="419"/>
      <c r="L117" s="419"/>
      <c r="M117" s="419"/>
      <c r="N117" s="419"/>
      <c r="O117" s="419"/>
      <c r="P117" s="419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</row>
    <row r="118" spans="1:49" x14ac:dyDescent="0.25">
      <c r="A118" s="9"/>
      <c r="B118" s="9"/>
      <c r="C118" s="9"/>
      <c r="D118" s="9"/>
      <c r="E118" s="900"/>
      <c r="F118" s="900"/>
      <c r="G118" s="900"/>
      <c r="H118" s="900"/>
      <c r="I118" s="681"/>
      <c r="J118" s="681"/>
      <c r="K118" s="419"/>
      <c r="L118" s="419"/>
      <c r="M118" s="419"/>
      <c r="N118" s="419"/>
      <c r="O118" s="419"/>
      <c r="P118" s="419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</row>
    <row r="119" spans="1:49" x14ac:dyDescent="0.25">
      <c r="A119" s="9"/>
      <c r="B119" s="9"/>
      <c r="C119" s="9"/>
      <c r="D119" s="9"/>
      <c r="E119" s="900"/>
      <c r="F119" s="900"/>
      <c r="G119" s="900"/>
      <c r="H119" s="900"/>
      <c r="I119" s="681"/>
      <c r="J119" s="681"/>
      <c r="K119" s="419"/>
      <c r="L119" s="419"/>
      <c r="M119" s="419"/>
      <c r="N119" s="419"/>
      <c r="O119" s="419"/>
      <c r="P119" s="419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</row>
    <row r="120" spans="1:49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</row>
    <row r="121" spans="1:49" x14ac:dyDescent="0.25">
      <c r="A121" s="9"/>
      <c r="B121" s="9"/>
      <c r="C121" s="9"/>
      <c r="D121" s="9"/>
      <c r="E121" s="900"/>
      <c r="F121" s="900"/>
      <c r="G121" s="900"/>
      <c r="H121" s="900"/>
      <c r="I121" s="681"/>
      <c r="J121" s="681"/>
      <c r="K121" s="419"/>
      <c r="L121" s="419"/>
      <c r="M121" s="419"/>
      <c r="N121" s="419"/>
      <c r="O121" s="419"/>
      <c r="P121" s="419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</row>
    <row r="122" spans="1:49" x14ac:dyDescent="0.25">
      <c r="A122" s="9"/>
      <c r="B122" s="9"/>
      <c r="C122" s="9"/>
      <c r="D122" s="9"/>
      <c r="E122" s="900"/>
      <c r="F122" s="900"/>
      <c r="G122" s="900"/>
      <c r="H122" s="900"/>
      <c r="I122" s="681"/>
      <c r="J122" s="681"/>
      <c r="K122" s="419"/>
      <c r="L122" s="419"/>
      <c r="M122" s="419"/>
      <c r="N122" s="419"/>
      <c r="O122" s="419"/>
      <c r="P122" s="419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</row>
    <row r="123" spans="1:49" x14ac:dyDescent="0.25">
      <c r="A123" s="9"/>
      <c r="B123" s="9"/>
      <c r="C123" s="9"/>
      <c r="D123" s="9"/>
      <c r="E123" s="900"/>
      <c r="F123" s="900"/>
      <c r="G123" s="900"/>
      <c r="H123" s="900"/>
      <c r="I123" s="681"/>
      <c r="J123" s="681"/>
      <c r="K123" s="419"/>
      <c r="L123" s="419"/>
      <c r="M123" s="419"/>
      <c r="N123" s="419"/>
      <c r="O123" s="419"/>
      <c r="P123" s="419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</row>
    <row r="124" spans="1:49" x14ac:dyDescent="0.25">
      <c r="A124" s="9"/>
      <c r="B124" s="9"/>
      <c r="C124" s="9"/>
      <c r="D124" s="9"/>
      <c r="E124" s="900"/>
      <c r="F124" s="900"/>
      <c r="G124" s="900"/>
      <c r="H124" s="900"/>
      <c r="I124" s="681"/>
      <c r="J124" s="681"/>
      <c r="K124" s="419"/>
      <c r="L124" s="419"/>
      <c r="M124" s="419"/>
      <c r="N124" s="419"/>
      <c r="O124" s="419"/>
      <c r="P124" s="419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</row>
    <row r="125" spans="1:49" x14ac:dyDescent="0.25">
      <c r="A125" s="9"/>
      <c r="B125" s="9"/>
      <c r="C125" s="9"/>
      <c r="D125" s="9"/>
      <c r="E125" s="900"/>
      <c r="F125" s="900"/>
      <c r="G125" s="900"/>
      <c r="H125" s="900"/>
      <c r="I125" s="681"/>
      <c r="J125" s="681"/>
      <c r="K125" s="419"/>
      <c r="L125" s="419"/>
      <c r="M125" s="419"/>
      <c r="N125" s="419"/>
      <c r="O125" s="419"/>
      <c r="P125" s="419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</row>
    <row r="126" spans="1:49" x14ac:dyDescent="0.25">
      <c r="A126" s="9"/>
      <c r="B126" s="9"/>
      <c r="C126" s="9"/>
      <c r="D126" s="9"/>
      <c r="E126" s="900"/>
      <c r="F126" s="900"/>
      <c r="G126" s="900"/>
      <c r="H126" s="900"/>
      <c r="I126" s="681"/>
      <c r="J126" s="681"/>
      <c r="K126" s="419"/>
      <c r="L126" s="419"/>
      <c r="M126" s="419"/>
      <c r="N126" s="419"/>
      <c r="O126" s="419"/>
      <c r="P126" s="419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</row>
    <row r="127" spans="1:49" x14ac:dyDescent="0.25">
      <c r="A127" s="9"/>
      <c r="B127" s="9"/>
      <c r="C127" s="9"/>
      <c r="D127" s="9"/>
      <c r="E127" s="900"/>
      <c r="F127" s="900"/>
      <c r="G127" s="900"/>
      <c r="H127" s="900"/>
      <c r="I127" s="681"/>
      <c r="J127" s="681"/>
      <c r="K127" s="419"/>
      <c r="L127" s="419"/>
      <c r="M127" s="419"/>
      <c r="N127" s="419"/>
      <c r="O127" s="419"/>
      <c r="P127" s="419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</row>
    <row r="128" spans="1:49" x14ac:dyDescent="0.25">
      <c r="A128" s="9"/>
      <c r="B128" s="9"/>
      <c r="C128" s="9"/>
      <c r="D128" s="9"/>
      <c r="E128" s="900"/>
      <c r="F128" s="900"/>
      <c r="G128" s="900"/>
      <c r="H128" s="900"/>
      <c r="I128" s="681"/>
      <c r="J128" s="681"/>
      <c r="K128" s="419"/>
      <c r="L128" s="419"/>
      <c r="M128" s="419"/>
      <c r="N128" s="419"/>
      <c r="O128" s="419"/>
      <c r="P128" s="419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</row>
    <row r="129" spans="1:49" x14ac:dyDescent="0.25">
      <c r="A129" s="9"/>
      <c r="B129" s="9"/>
      <c r="C129" s="9"/>
      <c r="D129" s="9"/>
      <c r="E129" s="900"/>
      <c r="F129" s="900"/>
      <c r="G129" s="900"/>
      <c r="H129" s="900"/>
      <c r="I129" s="681"/>
      <c r="J129" s="681"/>
      <c r="K129" s="419"/>
      <c r="L129" s="419"/>
      <c r="M129" s="419"/>
      <c r="N129" s="419"/>
      <c r="O129" s="419"/>
      <c r="P129" s="419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</row>
    <row r="130" spans="1:49" x14ac:dyDescent="0.25">
      <c r="A130" s="9"/>
      <c r="B130" s="9"/>
      <c r="C130" s="9"/>
      <c r="D130" s="9"/>
      <c r="E130" s="900"/>
      <c r="F130" s="900"/>
      <c r="G130" s="900"/>
      <c r="H130" s="900"/>
      <c r="I130" s="681"/>
      <c r="J130" s="681"/>
      <c r="K130" s="419"/>
      <c r="L130" s="419"/>
      <c r="M130" s="419"/>
      <c r="N130" s="419"/>
      <c r="O130" s="419"/>
      <c r="P130" s="419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</row>
    <row r="131" spans="1:49" x14ac:dyDescent="0.25">
      <c r="A131" s="9"/>
      <c r="B131" s="9"/>
      <c r="C131" s="9"/>
      <c r="D131" s="9"/>
      <c r="E131" s="900"/>
      <c r="F131" s="900"/>
      <c r="G131" s="900"/>
      <c r="H131" s="900"/>
      <c r="I131" s="681"/>
      <c r="J131" s="681"/>
      <c r="K131" s="419"/>
      <c r="L131" s="419"/>
      <c r="M131" s="419"/>
      <c r="N131" s="419"/>
      <c r="O131" s="419"/>
      <c r="P131" s="419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</row>
    <row r="132" spans="1:49" x14ac:dyDescent="0.25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</row>
    <row r="133" spans="1:49" x14ac:dyDescent="0.2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</row>
    <row r="134" spans="1:49" x14ac:dyDescent="0.2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</row>
    <row r="135" spans="1:49" x14ac:dyDescent="0.2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</row>
    <row r="136" spans="1:49" x14ac:dyDescent="0.25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</row>
    <row r="137" spans="1:49" x14ac:dyDescent="0.25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</row>
    <row r="138" spans="1:49" x14ac:dyDescent="0.25">
      <c r="A138" s="80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</row>
    <row r="139" spans="1:49" x14ac:dyDescent="0.25">
      <c r="A139" s="80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</row>
    <row r="140" spans="1:49" x14ac:dyDescent="0.25">
      <c r="A140" s="80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</row>
    <row r="141" spans="1:49" x14ac:dyDescent="0.25">
      <c r="A141" s="80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</row>
    <row r="142" spans="1:49" x14ac:dyDescent="0.25">
      <c r="A142" s="80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</row>
    <row r="143" spans="1:49" x14ac:dyDescent="0.25">
      <c r="A143" s="80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</row>
    <row r="144" spans="1:49" x14ac:dyDescent="0.25">
      <c r="A144" s="80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</row>
    <row r="145" spans="1:49" x14ac:dyDescent="0.25">
      <c r="A145" s="80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</row>
    <row r="146" spans="1:49" x14ac:dyDescent="0.25">
      <c r="A146" s="80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</row>
    <row r="147" spans="1:49" x14ac:dyDescent="0.25">
      <c r="A147" s="80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</row>
    <row r="148" spans="1:49" x14ac:dyDescent="0.25">
      <c r="A148" s="80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</row>
    <row r="149" spans="1:49" x14ac:dyDescent="0.25">
      <c r="A149" s="80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</row>
    <row r="150" spans="1:49" x14ac:dyDescent="0.25">
      <c r="A150" s="80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</row>
    <row r="151" spans="1:49" x14ac:dyDescent="0.25">
      <c r="A151" s="80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</row>
    <row r="152" spans="1:49" x14ac:dyDescent="0.25">
      <c r="A152" s="80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</row>
    <row r="153" spans="1:49" x14ac:dyDescent="0.25">
      <c r="A153" s="80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</row>
    <row r="154" spans="1:49" x14ac:dyDescent="0.25">
      <c r="A154" s="80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</row>
    <row r="155" spans="1:49" x14ac:dyDescent="0.25">
      <c r="A155" s="80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</row>
    <row r="156" spans="1:49" x14ac:dyDescent="0.25">
      <c r="A156" s="80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</row>
    <row r="157" spans="1:49" x14ac:dyDescent="0.25">
      <c r="A157" s="80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91"/>
    </row>
    <row r="158" spans="1:49" x14ac:dyDescent="0.25">
      <c r="A158" s="80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91"/>
    </row>
    <row r="159" spans="1:49" x14ac:dyDescent="0.25">
      <c r="A159" s="80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91"/>
    </row>
    <row r="160" spans="1:49" x14ac:dyDescent="0.25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4"/>
    </row>
  </sheetData>
  <mergeCells count="147">
    <mergeCell ref="AZ28:AZ29"/>
    <mergeCell ref="BA28:BA29"/>
    <mergeCell ref="BB28:BB29"/>
    <mergeCell ref="B51:F51"/>
    <mergeCell ref="B53:B54"/>
    <mergeCell ref="C53:C54"/>
    <mergeCell ref="D53:D54"/>
    <mergeCell ref="E53:E54"/>
    <mergeCell ref="F53:F54"/>
    <mergeCell ref="G53:G54"/>
    <mergeCell ref="H53:H54"/>
    <mergeCell ref="Y53:Z53"/>
    <mergeCell ref="AA53:AB53"/>
    <mergeCell ref="AO53:AO54"/>
    <mergeCell ref="AP53:AP54"/>
    <mergeCell ref="AQ53:AQ54"/>
    <mergeCell ref="AR53:AR54"/>
    <mergeCell ref="AS53:AS54"/>
    <mergeCell ref="AT53:AT54"/>
    <mergeCell ref="AU53:AU54"/>
    <mergeCell ref="AV53:AV54"/>
    <mergeCell ref="AW53:AW54"/>
    <mergeCell ref="AS28:AS29"/>
    <mergeCell ref="AO28:AO29"/>
    <mergeCell ref="AY28:AY29"/>
    <mergeCell ref="AP96:AP97"/>
    <mergeCell ref="G96:G97"/>
    <mergeCell ref="H96:H97"/>
    <mergeCell ref="Q96:R96"/>
    <mergeCell ref="AG96:AG97"/>
    <mergeCell ref="AH96:AH97"/>
    <mergeCell ref="AI96:AI97"/>
    <mergeCell ref="AK53:AK54"/>
    <mergeCell ref="AL53:AL54"/>
    <mergeCell ref="AM53:AM54"/>
    <mergeCell ref="AN53:AN54"/>
    <mergeCell ref="AM96:AM97"/>
    <mergeCell ref="AN96:AN97"/>
    <mergeCell ref="AQ28:AQ29"/>
    <mergeCell ref="AR28:AR29"/>
    <mergeCell ref="E131:H131"/>
    <mergeCell ref="K5:L5"/>
    <mergeCell ref="M5:N5"/>
    <mergeCell ref="S5:T5"/>
    <mergeCell ref="E125:H125"/>
    <mergeCell ref="E126:H126"/>
    <mergeCell ref="E127:H127"/>
    <mergeCell ref="E128:H128"/>
    <mergeCell ref="E129:H129"/>
    <mergeCell ref="E130:H130"/>
    <mergeCell ref="E118:H118"/>
    <mergeCell ref="E119:H119"/>
    <mergeCell ref="E121:H121"/>
    <mergeCell ref="E122:H122"/>
    <mergeCell ref="E123:H123"/>
    <mergeCell ref="E124:H124"/>
    <mergeCell ref="E110:H110"/>
    <mergeCell ref="E113:H113"/>
    <mergeCell ref="E114:H114"/>
    <mergeCell ref="E115:H115"/>
    <mergeCell ref="E116:H116"/>
    <mergeCell ref="E117:H117"/>
    <mergeCell ref="B94:F94"/>
    <mergeCell ref="B26:F26"/>
    <mergeCell ref="A96:A97"/>
    <mergeCell ref="B96:B97"/>
    <mergeCell ref="C96:C97"/>
    <mergeCell ref="D96:D97"/>
    <mergeCell ref="E96:E97"/>
    <mergeCell ref="F96:F97"/>
    <mergeCell ref="AJ96:AJ97"/>
    <mergeCell ref="AK96:AK97"/>
    <mergeCell ref="AL96:AL97"/>
    <mergeCell ref="A53:A54"/>
    <mergeCell ref="AC53:AD53"/>
    <mergeCell ref="AE53:AF53"/>
    <mergeCell ref="AG53:AG54"/>
    <mergeCell ref="AH53:AH54"/>
    <mergeCell ref="AI53:AI54"/>
    <mergeCell ref="AJ53:AJ54"/>
    <mergeCell ref="AX28:AX29"/>
    <mergeCell ref="AJ28:AJ29"/>
    <mergeCell ref="AK28:AK29"/>
    <mergeCell ref="AL28:AL29"/>
    <mergeCell ref="AM28:AM29"/>
    <mergeCell ref="AN28:AN29"/>
    <mergeCell ref="AP28:AP29"/>
    <mergeCell ref="A28:A29"/>
    <mergeCell ref="B28:B29"/>
    <mergeCell ref="C28:C29"/>
    <mergeCell ref="D28:D29"/>
    <mergeCell ref="E28:E29"/>
    <mergeCell ref="F28:F29"/>
    <mergeCell ref="AT28:AT29"/>
    <mergeCell ref="AU28:AU29"/>
    <mergeCell ref="AV28:AV29"/>
    <mergeCell ref="AW28:AW29"/>
    <mergeCell ref="AM5:AM6"/>
    <mergeCell ref="G5:G6"/>
    <mergeCell ref="H5:H6"/>
    <mergeCell ref="O5:P5"/>
    <mergeCell ref="Q5:R5"/>
    <mergeCell ref="Y28:Z28"/>
    <mergeCell ref="AA28:AB28"/>
    <mergeCell ref="AC28:AD28"/>
    <mergeCell ref="AE28:AF28"/>
    <mergeCell ref="G28:G29"/>
    <mergeCell ref="H28:H29"/>
    <mergeCell ref="AG28:AG29"/>
    <mergeCell ref="AH28:AH29"/>
    <mergeCell ref="AI28:AI29"/>
    <mergeCell ref="W5:X5"/>
    <mergeCell ref="Y5:Z5"/>
    <mergeCell ref="AA5:AB5"/>
    <mergeCell ref="AC5:AD5"/>
    <mergeCell ref="AH5:AH6"/>
    <mergeCell ref="AI5:AI6"/>
    <mergeCell ref="I5:J5"/>
    <mergeCell ref="BC5:BC6"/>
    <mergeCell ref="BD5:BD6"/>
    <mergeCell ref="AN5:AN6"/>
    <mergeCell ref="AP5:AP6"/>
    <mergeCell ref="AX5:AX6"/>
    <mergeCell ref="AZ5:AZ6"/>
    <mergeCell ref="BA5:BA6"/>
    <mergeCell ref="BB5:BB6"/>
    <mergeCell ref="AQ5:AQ6"/>
    <mergeCell ref="AR5:AR6"/>
    <mergeCell ref="AO5:AO6"/>
    <mergeCell ref="AS5:AS6"/>
    <mergeCell ref="AT5:AT6"/>
    <mergeCell ref="AV5:AV6"/>
    <mergeCell ref="AU5:AU6"/>
    <mergeCell ref="AW5:AW6"/>
    <mergeCell ref="AY5:AY6"/>
    <mergeCell ref="A5:A6"/>
    <mergeCell ref="B5:B6"/>
    <mergeCell ref="C5:C6"/>
    <mergeCell ref="D5:D6"/>
    <mergeCell ref="E5:E6"/>
    <mergeCell ref="F5:F6"/>
    <mergeCell ref="AJ5:AJ6"/>
    <mergeCell ref="AK5:AK6"/>
    <mergeCell ref="AL5:AL6"/>
    <mergeCell ref="U5:V5"/>
    <mergeCell ref="AE5:AF5"/>
    <mergeCell ref="AG5:AG6"/>
  </mergeCells>
  <pageMargins left="0.17" right="0" top="0.74803149606299213" bottom="0.74803149606299213" header="0.31496062992125984" footer="0.31496062992125984"/>
  <pageSetup paperSize="9" scale="91" orientation="landscape" horizontalDpi="180" verticalDpi="180" r:id="rId1"/>
  <ignoredErrors>
    <ignoredError sqref="G39 G6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6"/>
  <sheetViews>
    <sheetView workbookViewId="0">
      <selection activeCell="J2" sqref="J2"/>
    </sheetView>
  </sheetViews>
  <sheetFormatPr defaultRowHeight="15" x14ac:dyDescent="0.25"/>
  <cols>
    <col min="7" max="7" width="11.7109375" customWidth="1"/>
    <col min="8" max="8" width="12.28515625" customWidth="1"/>
    <col min="9" max="9" width="11.140625" customWidth="1"/>
    <col min="10" max="10" width="13.28515625" customWidth="1"/>
    <col min="11" max="11" width="12.85546875" customWidth="1"/>
    <col min="12" max="12" width="12" customWidth="1"/>
    <col min="13" max="13" width="13.140625" customWidth="1"/>
    <col min="20" max="20" width="12.140625" customWidth="1"/>
    <col min="23" max="23" width="11.42578125" style="780" customWidth="1"/>
    <col min="24" max="24" width="12" style="780" customWidth="1"/>
    <col min="25" max="25" width="14.28515625" style="775" customWidth="1"/>
    <col min="30" max="30" width="11.28515625" customWidth="1"/>
    <col min="36" max="36" width="11.140625" customWidth="1"/>
    <col min="39" max="39" width="10.5703125" customWidth="1"/>
  </cols>
  <sheetData>
    <row r="1" spans="1:43" x14ac:dyDescent="0.25">
      <c r="C1" t="s">
        <v>451</v>
      </c>
    </row>
    <row r="3" spans="1:43" x14ac:dyDescent="0.25">
      <c r="C3" t="s">
        <v>452</v>
      </c>
    </row>
    <row r="4" spans="1:43" ht="18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43" x14ac:dyDescent="0.25">
      <c r="A5" s="860" t="s">
        <v>0</v>
      </c>
      <c r="B5" s="860" t="s">
        <v>130</v>
      </c>
      <c r="C5" s="860" t="s">
        <v>43</v>
      </c>
      <c r="D5" s="860" t="s">
        <v>44</v>
      </c>
      <c r="E5" s="860" t="s">
        <v>45</v>
      </c>
      <c r="F5" s="1024" t="s">
        <v>1</v>
      </c>
      <c r="G5" s="865" t="s">
        <v>186</v>
      </c>
      <c r="H5" s="1036"/>
      <c r="I5" s="1036"/>
      <c r="J5" s="1036"/>
      <c r="K5" s="1036"/>
      <c r="L5" s="1036"/>
      <c r="M5" s="866"/>
      <c r="N5" s="779"/>
      <c r="O5" s="1029" t="s">
        <v>453</v>
      </c>
      <c r="P5" s="1029"/>
      <c r="Q5" s="1029" t="s">
        <v>454</v>
      </c>
      <c r="R5" s="1029"/>
      <c r="S5" s="1029" t="s">
        <v>241</v>
      </c>
      <c r="T5" s="1029"/>
      <c r="U5" s="1029" t="s">
        <v>455</v>
      </c>
      <c r="V5" s="1029"/>
      <c r="W5" s="1037" t="s">
        <v>77</v>
      </c>
      <c r="X5" s="1037"/>
      <c r="Y5" s="1030" t="s">
        <v>456</v>
      </c>
      <c r="Z5" s="1029" t="s">
        <v>241</v>
      </c>
      <c r="AA5" s="1029" t="s">
        <v>457</v>
      </c>
      <c r="AB5" s="1029" t="s">
        <v>458</v>
      </c>
      <c r="AC5" s="1026" t="s">
        <v>459</v>
      </c>
      <c r="AD5" s="1029" t="s">
        <v>460</v>
      </c>
      <c r="AE5" s="1026" t="s">
        <v>461</v>
      </c>
      <c r="AF5" s="1027" t="s">
        <v>462</v>
      </c>
      <c r="AG5" s="1029" t="s">
        <v>463</v>
      </c>
      <c r="AH5" s="1029" t="s">
        <v>464</v>
      </c>
      <c r="AI5" s="1029" t="s">
        <v>465</v>
      </c>
      <c r="AJ5" s="1029" t="s">
        <v>466</v>
      </c>
      <c r="AK5" s="1029" t="s">
        <v>467</v>
      </c>
      <c r="AL5" s="1029" t="s">
        <v>468</v>
      </c>
      <c r="AM5" s="1026" t="s">
        <v>469</v>
      </c>
      <c r="AN5" s="1026" t="s">
        <v>470</v>
      </c>
      <c r="AO5" s="14" t="s">
        <v>471</v>
      </c>
    </row>
    <row r="6" spans="1:43" x14ac:dyDescent="0.25">
      <c r="A6" s="861"/>
      <c r="B6" s="861"/>
      <c r="C6" s="861"/>
      <c r="D6" s="861"/>
      <c r="E6" s="861"/>
      <c r="F6" s="1025"/>
      <c r="G6" s="82" t="s">
        <v>4</v>
      </c>
      <c r="H6" s="82" t="s">
        <v>472</v>
      </c>
      <c r="I6" s="82" t="s">
        <v>473</v>
      </c>
      <c r="J6" s="82" t="s">
        <v>474</v>
      </c>
      <c r="K6" s="82" t="s">
        <v>4</v>
      </c>
      <c r="L6" s="82" t="s">
        <v>475</v>
      </c>
      <c r="M6" s="704" t="s">
        <v>5</v>
      </c>
      <c r="N6" s="704"/>
      <c r="O6" s="14" t="s">
        <v>476</v>
      </c>
      <c r="P6" s="14" t="s">
        <v>477</v>
      </c>
      <c r="Q6" s="14" t="s">
        <v>476</v>
      </c>
      <c r="R6" s="14" t="s">
        <v>477</v>
      </c>
      <c r="S6" s="14" t="s">
        <v>476</v>
      </c>
      <c r="T6" s="14" t="s">
        <v>477</v>
      </c>
      <c r="U6" s="14" t="s">
        <v>476</v>
      </c>
      <c r="V6" s="14" t="s">
        <v>477</v>
      </c>
      <c r="W6" s="781" t="s">
        <v>478</v>
      </c>
      <c r="X6" s="781" t="s">
        <v>475</v>
      </c>
      <c r="Y6" s="1030"/>
      <c r="Z6" s="1029"/>
      <c r="AA6" s="1029"/>
      <c r="AB6" s="1029"/>
      <c r="AC6" s="1026"/>
      <c r="AD6" s="1029"/>
      <c r="AE6" s="1026"/>
      <c r="AF6" s="1028"/>
      <c r="AG6" s="1029"/>
      <c r="AH6" s="1029"/>
      <c r="AI6" s="1029"/>
      <c r="AJ6" s="1029"/>
      <c r="AK6" s="1029"/>
      <c r="AL6" s="1029"/>
      <c r="AM6" s="1026"/>
      <c r="AN6" s="1026"/>
      <c r="AO6" s="14" t="s">
        <v>479</v>
      </c>
    </row>
    <row r="7" spans="1:43" ht="25.5" x14ac:dyDescent="0.25">
      <c r="A7" s="61">
        <v>1</v>
      </c>
      <c r="B7" s="34" t="s">
        <v>480</v>
      </c>
      <c r="C7" s="270">
        <v>1967</v>
      </c>
      <c r="D7" s="270">
        <v>1</v>
      </c>
      <c r="E7" s="270">
        <v>2</v>
      </c>
      <c r="F7" s="782">
        <v>34.9</v>
      </c>
      <c r="G7" s="783">
        <v>4594.2</v>
      </c>
      <c r="H7" s="783"/>
      <c r="I7" s="783"/>
      <c r="J7" s="783"/>
      <c r="K7" s="782">
        <f>G7-J7</f>
        <v>4594.2</v>
      </c>
      <c r="L7" s="783">
        <v>4594.2</v>
      </c>
      <c r="M7" s="782">
        <v>4594.2</v>
      </c>
      <c r="N7" s="782"/>
      <c r="O7" s="14"/>
      <c r="P7" s="14"/>
      <c r="Q7" s="14"/>
      <c r="R7" s="14"/>
      <c r="S7" s="14"/>
      <c r="T7" s="14"/>
      <c r="U7" s="14"/>
      <c r="V7" s="14"/>
      <c r="W7" s="784">
        <f>K7+O7+Q7+S7+U7</f>
        <v>4594.2</v>
      </c>
      <c r="X7" s="784">
        <f>M7+P7+R7+T7+V7</f>
        <v>4594.2</v>
      </c>
      <c r="Y7" s="785">
        <f>Z7+AA7+AB7+AC7+AD7+AE7+AG7+AH7+AI7+AJ7+AK7+AL7+AM7+AN7+AF7</f>
        <v>5143.149942069258</v>
      </c>
      <c r="Z7" s="14"/>
      <c r="AA7" s="14"/>
      <c r="AB7" s="786">
        <f>10946.78/15078.35*F7</f>
        <v>25.337163681702574</v>
      </c>
      <c r="AC7" s="14"/>
      <c r="AD7" s="38">
        <f>1091235.83/15078.35*F7</f>
        <v>2525.7492011393824</v>
      </c>
      <c r="AE7" s="14">
        <v>668.37</v>
      </c>
      <c r="AF7" s="786">
        <f>11392/15078.35*F7</f>
        <v>26.367659591400912</v>
      </c>
      <c r="AG7" s="14"/>
      <c r="AH7" s="14"/>
      <c r="AI7" s="14">
        <v>67.81</v>
      </c>
      <c r="AJ7" s="38">
        <f>704973.33/15078.35*F7</f>
        <v>1631.7149566762939</v>
      </c>
      <c r="AK7" s="38">
        <f>77558.8/15078.35*F7</f>
        <v>179.51580378489686</v>
      </c>
      <c r="AL7" s="38">
        <f>7900/15078.35*F7</f>
        <v>18.285157195581743</v>
      </c>
      <c r="AM7" s="14"/>
      <c r="AN7" s="14"/>
      <c r="AO7" s="14"/>
    </row>
    <row r="8" spans="1:43" x14ac:dyDescent="0.25">
      <c r="A8" s="6">
        <v>2</v>
      </c>
      <c r="B8" s="36" t="s">
        <v>481</v>
      </c>
      <c r="C8" s="285">
        <v>1962</v>
      </c>
      <c r="D8" s="285">
        <v>1</v>
      </c>
      <c r="E8" s="285">
        <v>2</v>
      </c>
      <c r="F8" s="787">
        <v>72.599999999999994</v>
      </c>
      <c r="G8" s="783">
        <v>9557.16</v>
      </c>
      <c r="H8" s="783"/>
      <c r="I8" s="783"/>
      <c r="J8" s="783"/>
      <c r="K8" s="782">
        <f t="shared" ref="K8:K37" si="0">G8-J8</f>
        <v>9557.16</v>
      </c>
      <c r="L8" s="783">
        <v>6604.1</v>
      </c>
      <c r="M8" s="782">
        <v>6604.1</v>
      </c>
      <c r="N8" s="782"/>
      <c r="O8" s="14"/>
      <c r="P8" s="14"/>
      <c r="Q8" s="14"/>
      <c r="R8" s="14"/>
      <c r="S8" s="14"/>
      <c r="T8" s="14"/>
      <c r="U8" s="14"/>
      <c r="V8" s="14"/>
      <c r="W8" s="784">
        <f t="shared" ref="W8:W37" si="1">K8+O8+Q8+S8+U8</f>
        <v>9557.16</v>
      </c>
      <c r="X8" s="784">
        <f t="shared" ref="X8:X37" si="2">M8+P8+R8+T8+V8</f>
        <v>6604.1</v>
      </c>
      <c r="Y8" s="785">
        <f t="shared" ref="Y8:Y36" si="3">Z8+AA8+AB8+AC8+AD8+AE8+AG8+AH8+AI8+AJ8+AK8+AL8+AM8+AN8+AF8</f>
        <v>10698.987673187052</v>
      </c>
      <c r="Z8" s="14"/>
      <c r="AA8" s="14"/>
      <c r="AB8" s="786">
        <f t="shared" ref="AB8:AB36" si="4">10946.78/15078.35*F8</f>
        <v>52.707108403770967</v>
      </c>
      <c r="AC8" s="14"/>
      <c r="AD8" s="38">
        <f t="shared" ref="AD8:AD36" si="5">1091235.83/15078.35*F8</f>
        <v>5254.1373066681699</v>
      </c>
      <c r="AE8" s="14">
        <v>1390.42</v>
      </c>
      <c r="AF8" s="786">
        <f t="shared" ref="AF8:AF36" si="6">11392/15078.35*F8</f>
        <v>54.850776112770951</v>
      </c>
      <c r="AG8" s="14"/>
      <c r="AH8" s="14"/>
      <c r="AI8" s="14">
        <v>141.06</v>
      </c>
      <c r="AJ8" s="38">
        <f t="shared" ref="AJ8:AJ36" si="7">704973.33/15078.35*F8</f>
        <v>3394.3411419684512</v>
      </c>
      <c r="AK8" s="38">
        <f t="shared" ref="AK8:AK36" si="8">77558.8/15078.35*F8</f>
        <v>373.43402162703472</v>
      </c>
      <c r="AL8" s="38">
        <f t="shared" ref="AL8:AL37" si="9">7900/15078.35*F8</f>
        <v>38.037318406854858</v>
      </c>
      <c r="AM8" s="14"/>
      <c r="AN8" s="14"/>
      <c r="AO8" s="14"/>
    </row>
    <row r="9" spans="1:43" x14ac:dyDescent="0.25">
      <c r="A9" s="6">
        <v>5</v>
      </c>
      <c r="B9" s="36" t="s">
        <v>482</v>
      </c>
      <c r="C9" s="285">
        <v>1963</v>
      </c>
      <c r="D9" s="285">
        <v>1</v>
      </c>
      <c r="E9" s="285">
        <v>1</v>
      </c>
      <c r="F9" s="787">
        <v>47.8</v>
      </c>
      <c r="G9" s="783">
        <v>6472.08</v>
      </c>
      <c r="H9" s="783"/>
      <c r="I9" s="783"/>
      <c r="J9" s="783"/>
      <c r="K9" s="782">
        <f t="shared" si="0"/>
        <v>6472.08</v>
      </c>
      <c r="L9" s="783">
        <v>6472.08</v>
      </c>
      <c r="M9" s="782">
        <v>6472.08</v>
      </c>
      <c r="N9" s="782"/>
      <c r="O9" s="14"/>
      <c r="P9" s="14"/>
      <c r="Q9" s="14"/>
      <c r="R9" s="14"/>
      <c r="S9" s="14"/>
      <c r="T9" s="14"/>
      <c r="U9" s="14"/>
      <c r="V9" s="14"/>
      <c r="W9" s="784">
        <f t="shared" si="1"/>
        <v>6472.08</v>
      </c>
      <c r="X9" s="784">
        <f t="shared" si="2"/>
        <v>6472.08</v>
      </c>
      <c r="Y9" s="785">
        <f t="shared" si="3"/>
        <v>7075.8272559000152</v>
      </c>
      <c r="Z9" s="14"/>
      <c r="AA9" s="14"/>
      <c r="AB9" s="786">
        <f t="shared" si="4"/>
        <v>34.702476331959396</v>
      </c>
      <c r="AC9" s="14"/>
      <c r="AD9" s="38">
        <f t="shared" si="5"/>
        <v>3459.3355820762886</v>
      </c>
      <c r="AE9" s="14">
        <v>944.13</v>
      </c>
      <c r="AF9" s="786">
        <f t="shared" si="6"/>
        <v>36.113871875901538</v>
      </c>
      <c r="AG9" s="14"/>
      <c r="AH9" s="14"/>
      <c r="AI9" s="14">
        <v>95.79</v>
      </c>
      <c r="AJ9" s="38">
        <f t="shared" si="7"/>
        <v>2234.8416885136635</v>
      </c>
      <c r="AK9" s="38">
        <f t="shared" si="8"/>
        <v>245.86978283432867</v>
      </c>
      <c r="AL9" s="38">
        <f t="shared" si="9"/>
        <v>25.043854267874135</v>
      </c>
      <c r="AM9" s="14"/>
      <c r="AN9" s="14"/>
      <c r="AO9" s="14"/>
    </row>
    <row r="10" spans="1:43" x14ac:dyDescent="0.25">
      <c r="A10" s="6">
        <v>6</v>
      </c>
      <c r="B10" s="36" t="s">
        <v>483</v>
      </c>
      <c r="C10" s="285">
        <v>1983</v>
      </c>
      <c r="D10" s="285">
        <v>1</v>
      </c>
      <c r="E10" s="285">
        <v>1</v>
      </c>
      <c r="F10" s="787">
        <v>47.9</v>
      </c>
      <c r="G10" s="783">
        <v>5960.16</v>
      </c>
      <c r="H10" s="783"/>
      <c r="I10" s="783"/>
      <c r="J10" s="783"/>
      <c r="K10" s="782">
        <f t="shared" si="0"/>
        <v>5960.16</v>
      </c>
      <c r="L10" s="783">
        <v>8418.2900000000009</v>
      </c>
      <c r="M10" s="782">
        <v>8418.2900000000009</v>
      </c>
      <c r="N10" s="782"/>
      <c r="O10" s="14"/>
      <c r="P10" s="14"/>
      <c r="Q10" s="14"/>
      <c r="R10" s="14"/>
      <c r="S10" s="14"/>
      <c r="T10" s="14"/>
      <c r="U10" s="14"/>
      <c r="V10" s="14"/>
      <c r="W10" s="784">
        <f t="shared" si="1"/>
        <v>5960.16</v>
      </c>
      <c r="X10" s="784">
        <f t="shared" si="2"/>
        <v>8418.2900000000009</v>
      </c>
      <c r="Y10" s="785">
        <f t="shared" si="3"/>
        <v>7006.2046769374629</v>
      </c>
      <c r="Z10" s="14"/>
      <c r="AA10" s="14"/>
      <c r="AB10" s="786">
        <f t="shared" si="4"/>
        <v>34.775075654829607</v>
      </c>
      <c r="AC10" s="14"/>
      <c r="AD10" s="38">
        <f t="shared" si="5"/>
        <v>3466.5726858044818</v>
      </c>
      <c r="AE10" s="14">
        <v>869.45</v>
      </c>
      <c r="AF10" s="786">
        <f t="shared" si="6"/>
        <v>36.189423909114723</v>
      </c>
      <c r="AG10" s="14"/>
      <c r="AH10" s="14"/>
      <c r="AI10" s="14">
        <v>88.22</v>
      </c>
      <c r="AJ10" s="38">
        <f t="shared" si="7"/>
        <v>2239.5170895356587</v>
      </c>
      <c r="AK10" s="38">
        <f t="shared" si="8"/>
        <v>246.38415476494441</v>
      </c>
      <c r="AL10" s="38">
        <f t="shared" si="9"/>
        <v>25.096247268434542</v>
      </c>
      <c r="AM10" s="14"/>
      <c r="AN10" s="14"/>
      <c r="AO10" s="14"/>
    </row>
    <row r="11" spans="1:43" x14ac:dyDescent="0.25">
      <c r="A11" s="6">
        <v>7</v>
      </c>
      <c r="B11" s="36" t="s">
        <v>484</v>
      </c>
      <c r="C11" s="285">
        <v>1963</v>
      </c>
      <c r="D11" s="285">
        <v>1</v>
      </c>
      <c r="E11" s="285">
        <v>1</v>
      </c>
      <c r="F11" s="787">
        <v>53.6</v>
      </c>
      <c r="G11" s="783">
        <v>6605.64</v>
      </c>
      <c r="H11" s="783"/>
      <c r="I11" s="783"/>
      <c r="J11" s="783"/>
      <c r="K11" s="782">
        <f t="shared" si="0"/>
        <v>6605.64</v>
      </c>
      <c r="L11" s="783">
        <v>6605.64</v>
      </c>
      <c r="M11" s="782">
        <v>6605.64</v>
      </c>
      <c r="N11" s="782"/>
      <c r="O11" s="14"/>
      <c r="P11" s="14"/>
      <c r="Q11" s="14"/>
      <c r="R11" s="14"/>
      <c r="S11" s="14"/>
      <c r="T11" s="14"/>
      <c r="U11" s="14"/>
      <c r="V11" s="14"/>
      <c r="W11" s="784">
        <f t="shared" si="1"/>
        <v>6605.64</v>
      </c>
      <c r="X11" s="784">
        <f t="shared" si="2"/>
        <v>6605.64</v>
      </c>
      <c r="Y11" s="785">
        <f t="shared" si="3"/>
        <v>7555.8776760719848</v>
      </c>
      <c r="Z11" s="14"/>
      <c r="AA11" s="14"/>
      <c r="AB11" s="786">
        <f t="shared" si="4"/>
        <v>38.913237058431463</v>
      </c>
      <c r="AC11" s="14"/>
      <c r="AD11" s="38">
        <f t="shared" si="5"/>
        <v>3879.087598311487</v>
      </c>
      <c r="AE11" s="14">
        <v>683.44</v>
      </c>
      <c r="AF11" s="786">
        <f t="shared" si="6"/>
        <v>40.495889802266163</v>
      </c>
      <c r="AG11" s="14"/>
      <c r="AH11" s="14"/>
      <c r="AI11" s="14">
        <v>104.14</v>
      </c>
      <c r="AJ11" s="38">
        <f t="shared" si="7"/>
        <v>2506.0149477893801</v>
      </c>
      <c r="AK11" s="38">
        <f t="shared" si="8"/>
        <v>275.70335481004219</v>
      </c>
      <c r="AL11" s="38">
        <f t="shared" si="9"/>
        <v>28.082648300377695</v>
      </c>
      <c r="AM11" s="14"/>
      <c r="AN11" s="14"/>
      <c r="AO11" s="14"/>
    </row>
    <row r="12" spans="1:43" x14ac:dyDescent="0.25">
      <c r="A12" s="6">
        <v>8</v>
      </c>
      <c r="B12" s="36" t="s">
        <v>485</v>
      </c>
      <c r="C12" s="285">
        <v>1967</v>
      </c>
      <c r="D12" s="285">
        <v>1</v>
      </c>
      <c r="E12" s="285">
        <v>2</v>
      </c>
      <c r="F12" s="787">
        <v>49.4</v>
      </c>
      <c r="G12" s="783">
        <v>3675.36</v>
      </c>
      <c r="H12" s="783"/>
      <c r="I12" s="783"/>
      <c r="J12" s="783"/>
      <c r="K12" s="782">
        <f t="shared" si="0"/>
        <v>3675.36</v>
      </c>
      <c r="L12" s="783">
        <v>3675.36</v>
      </c>
      <c r="M12" s="782">
        <v>3675.36</v>
      </c>
      <c r="N12" s="782"/>
      <c r="O12" s="14"/>
      <c r="P12" s="14"/>
      <c r="Q12" s="14"/>
      <c r="R12" s="14"/>
      <c r="S12" s="14"/>
      <c r="T12" s="14"/>
      <c r="U12" s="14"/>
      <c r="V12" s="14"/>
      <c r="W12" s="784">
        <f t="shared" si="1"/>
        <v>3675.36</v>
      </c>
      <c r="X12" s="784">
        <f t="shared" si="2"/>
        <v>3675.36</v>
      </c>
      <c r="Y12" s="785">
        <f t="shared" si="3"/>
        <v>6963.9059924991789</v>
      </c>
      <c r="Z12" s="14"/>
      <c r="AA12" s="14"/>
      <c r="AB12" s="786">
        <f t="shared" si="4"/>
        <v>35.864065497882727</v>
      </c>
      <c r="AC12" s="14"/>
      <c r="AD12" s="38">
        <f t="shared" si="5"/>
        <v>3575.1292417273776</v>
      </c>
      <c r="AE12" s="14">
        <v>629.96</v>
      </c>
      <c r="AF12" s="786">
        <f t="shared" si="6"/>
        <v>37.322704407312465</v>
      </c>
      <c r="AG12" s="14"/>
      <c r="AH12" s="14"/>
      <c r="AI12" s="14">
        <v>96</v>
      </c>
      <c r="AJ12" s="38">
        <f t="shared" si="7"/>
        <v>2309.6481048655851</v>
      </c>
      <c r="AK12" s="38">
        <f t="shared" si="8"/>
        <v>254.09973372418068</v>
      </c>
      <c r="AL12" s="38">
        <f t="shared" si="9"/>
        <v>25.882142276840636</v>
      </c>
      <c r="AM12" s="14"/>
      <c r="AN12" s="14"/>
      <c r="AO12" s="14"/>
    </row>
    <row r="13" spans="1:43" x14ac:dyDescent="0.25">
      <c r="A13" s="6">
        <v>9</v>
      </c>
      <c r="B13" s="36" t="s">
        <v>486</v>
      </c>
      <c r="C13" s="285">
        <v>1972</v>
      </c>
      <c r="D13" s="285">
        <v>1</v>
      </c>
      <c r="E13" s="285">
        <v>1</v>
      </c>
      <c r="F13" s="787">
        <v>24.6</v>
      </c>
      <c r="G13" s="783">
        <v>1653.12</v>
      </c>
      <c r="H13" s="783"/>
      <c r="I13" s="783"/>
      <c r="J13" s="783"/>
      <c r="K13" s="782">
        <f t="shared" si="0"/>
        <v>1653.12</v>
      </c>
      <c r="L13" s="783">
        <v>1790.88</v>
      </c>
      <c r="M13" s="782">
        <v>1790.88</v>
      </c>
      <c r="N13" s="782"/>
      <c r="O13" s="14"/>
      <c r="P13" s="14"/>
      <c r="Q13" s="14"/>
      <c r="R13" s="14"/>
      <c r="S13" s="14"/>
      <c r="T13" s="14"/>
      <c r="U13" s="14"/>
      <c r="V13" s="14"/>
      <c r="W13" s="784">
        <f t="shared" si="1"/>
        <v>1653.12</v>
      </c>
      <c r="X13" s="784">
        <f t="shared" si="2"/>
        <v>1790.88</v>
      </c>
      <c r="Y13" s="785">
        <f t="shared" si="3"/>
        <v>3327.5855752121429</v>
      </c>
      <c r="Z13" s="14"/>
      <c r="AA13" s="14"/>
      <c r="AB13" s="786">
        <f t="shared" si="4"/>
        <v>17.859433426071156</v>
      </c>
      <c r="AC13" s="14"/>
      <c r="AD13" s="38">
        <f t="shared" si="5"/>
        <v>1780.327517135496</v>
      </c>
      <c r="AE13" s="14">
        <v>173.45</v>
      </c>
      <c r="AF13" s="786">
        <f t="shared" si="6"/>
        <v>18.585800170443051</v>
      </c>
      <c r="AG13" s="14"/>
      <c r="AH13" s="14"/>
      <c r="AI13" s="14">
        <v>47.79</v>
      </c>
      <c r="AJ13" s="38">
        <f t="shared" si="7"/>
        <v>1150.1486514107976</v>
      </c>
      <c r="AK13" s="38">
        <f t="shared" si="8"/>
        <v>126.5354949314746</v>
      </c>
      <c r="AL13" s="38">
        <f t="shared" si="9"/>
        <v>12.888678137859912</v>
      </c>
      <c r="AM13" s="14"/>
      <c r="AN13" s="14"/>
      <c r="AO13" s="14"/>
      <c r="AQ13" s="9"/>
    </row>
    <row r="14" spans="1:43" x14ac:dyDescent="0.25">
      <c r="A14" s="788">
        <v>10</v>
      </c>
      <c r="B14" s="789" t="s">
        <v>487</v>
      </c>
      <c r="C14" s="790">
        <v>1993</v>
      </c>
      <c r="D14" s="790">
        <v>1</v>
      </c>
      <c r="E14" s="790">
        <v>1</v>
      </c>
      <c r="F14" s="787">
        <v>92</v>
      </c>
      <c r="G14" s="783">
        <v>7584.36</v>
      </c>
      <c r="H14" s="783"/>
      <c r="I14" s="783"/>
      <c r="J14" s="783"/>
      <c r="K14" s="782">
        <f t="shared" si="0"/>
        <v>7584.36</v>
      </c>
      <c r="L14" s="783">
        <v>6070.91</v>
      </c>
      <c r="M14" s="782">
        <v>6070.91</v>
      </c>
      <c r="N14" s="782"/>
      <c r="O14" s="14"/>
      <c r="P14" s="14"/>
      <c r="Q14" s="14"/>
      <c r="R14" s="14"/>
      <c r="S14" s="14"/>
      <c r="T14" s="14"/>
      <c r="U14" s="14"/>
      <c r="V14" s="14"/>
      <c r="W14" s="784">
        <f t="shared" si="1"/>
        <v>7584.36</v>
      </c>
      <c r="X14" s="784">
        <f t="shared" si="2"/>
        <v>6070.91</v>
      </c>
      <c r="Y14" s="785">
        <f t="shared" si="3"/>
        <v>13557.927354451913</v>
      </c>
      <c r="Z14" s="14"/>
      <c r="AA14" s="14"/>
      <c r="AB14" s="786">
        <f t="shared" si="4"/>
        <v>66.791377040591314</v>
      </c>
      <c r="AC14" s="14"/>
      <c r="AD14" s="38">
        <f t="shared" si="5"/>
        <v>6658.1354299376271</v>
      </c>
      <c r="AE14" s="14">
        <v>1761.93</v>
      </c>
      <c r="AF14" s="786">
        <f t="shared" si="6"/>
        <v>69.507870556128481</v>
      </c>
      <c r="AG14" s="14"/>
      <c r="AH14" s="14"/>
      <c r="AI14" s="14">
        <v>178.77</v>
      </c>
      <c r="AJ14" s="38">
        <f t="shared" si="7"/>
        <v>4301.368940235503</v>
      </c>
      <c r="AK14" s="38">
        <f t="shared" si="8"/>
        <v>473.22217616649033</v>
      </c>
      <c r="AL14" s="38">
        <f t="shared" si="9"/>
        <v>48.201560515573654</v>
      </c>
      <c r="AM14" s="14"/>
      <c r="AN14" s="38"/>
      <c r="AO14" s="14"/>
      <c r="AQ14" s="791"/>
    </row>
    <row r="15" spans="1:43" x14ac:dyDescent="0.25">
      <c r="A15" s="792">
        <v>11</v>
      </c>
      <c r="B15" s="789" t="s">
        <v>488</v>
      </c>
      <c r="C15" s="793">
        <v>1980</v>
      </c>
      <c r="D15" s="793">
        <v>3</v>
      </c>
      <c r="E15" s="793">
        <v>24</v>
      </c>
      <c r="F15" s="787">
        <v>1440.6</v>
      </c>
      <c r="G15" s="783">
        <v>308944.21999999997</v>
      </c>
      <c r="H15" s="783">
        <f>60744.6/7*12</f>
        <v>104133.59999999999</v>
      </c>
      <c r="I15" s="783">
        <f>60744.6</f>
        <v>60744.6</v>
      </c>
      <c r="J15" s="783">
        <f>H15-I15</f>
        <v>43388.999999999993</v>
      </c>
      <c r="K15" s="782">
        <f t="shared" si="0"/>
        <v>265555.21999999997</v>
      </c>
      <c r="L15" s="783">
        <v>295193.87</v>
      </c>
      <c r="M15" s="782">
        <f>L15/G15*K15</f>
        <v>253736.00804216825</v>
      </c>
      <c r="N15" s="782"/>
      <c r="O15" s="14">
        <v>1568.1</v>
      </c>
      <c r="P15" s="14">
        <v>1537.15</v>
      </c>
      <c r="Q15" s="14">
        <v>4856.6400000000003</v>
      </c>
      <c r="R15" s="14">
        <f>5258.91-79.75</f>
        <v>5179.16</v>
      </c>
      <c r="S15" s="794">
        <v>6816.18</v>
      </c>
      <c r="T15" s="794">
        <v>7914.39</v>
      </c>
      <c r="U15" s="794">
        <v>10124.1</v>
      </c>
      <c r="V15" s="794">
        <v>11454.95</v>
      </c>
      <c r="W15" s="784">
        <f t="shared" si="1"/>
        <v>288920.23999999993</v>
      </c>
      <c r="X15" s="784">
        <f t="shared" si="2"/>
        <v>279821.65804216824</v>
      </c>
      <c r="Y15" s="785">
        <f t="shared" si="3"/>
        <v>279047.23194711143</v>
      </c>
      <c r="Z15" s="14">
        <v>7200</v>
      </c>
      <c r="AA15" s="14"/>
      <c r="AB15" s="786">
        <f t="shared" si="4"/>
        <v>1045.8658452682157</v>
      </c>
      <c r="AC15" s="14"/>
      <c r="AD15" s="38">
        <f t="shared" si="5"/>
        <v>104257.71630834939</v>
      </c>
      <c r="AE15" s="14">
        <v>27698.69</v>
      </c>
      <c r="AF15" s="786">
        <f t="shared" si="6"/>
        <v>1088.4025904691161</v>
      </c>
      <c r="AG15" s="14">
        <v>5078.25</v>
      </c>
      <c r="AH15" s="14">
        <f>925.79+547</f>
        <v>1472.79</v>
      </c>
      <c r="AI15" s="14">
        <v>5319.24</v>
      </c>
      <c r="AJ15" s="38">
        <f t="shared" si="7"/>
        <v>67353.827122861578</v>
      </c>
      <c r="AK15" s="38">
        <f t="shared" si="8"/>
        <v>7410.0420324504994</v>
      </c>
      <c r="AL15" s="38">
        <f t="shared" si="9"/>
        <v>754.77356607321087</v>
      </c>
      <c r="AM15" s="38">
        <f>272111.01/8714*F15</f>
        <v>44985.439638053707</v>
      </c>
      <c r="AN15" s="38">
        <f t="shared" ref="AN15:AN21" si="10">43252/13125.4*F15+635</f>
        <v>5382.1948435857194</v>
      </c>
      <c r="AO15" s="14"/>
      <c r="AQ15" s="791"/>
    </row>
    <row r="16" spans="1:43" x14ac:dyDescent="0.25">
      <c r="A16" s="792">
        <v>12</v>
      </c>
      <c r="B16" s="789" t="s">
        <v>489</v>
      </c>
      <c r="C16" s="793">
        <v>1978</v>
      </c>
      <c r="D16" s="793">
        <v>3</v>
      </c>
      <c r="E16" s="793">
        <v>24</v>
      </c>
      <c r="F16" s="787">
        <v>1449.9</v>
      </c>
      <c r="G16" s="783">
        <v>309713.06</v>
      </c>
      <c r="H16" s="783">
        <f>60895.8/7*12</f>
        <v>104392.79999999999</v>
      </c>
      <c r="I16" s="783">
        <f>60895.8</f>
        <v>60895.8</v>
      </c>
      <c r="J16" s="783">
        <f t="shared" ref="J16:J35" si="11">H16-I16</f>
        <v>43496.999999999985</v>
      </c>
      <c r="K16" s="782">
        <f t="shared" si="0"/>
        <v>266216.06</v>
      </c>
      <c r="L16" s="783">
        <v>272947.36</v>
      </c>
      <c r="M16" s="782">
        <f t="shared" ref="M16:M21" si="12">L16/G16*K16</f>
        <v>234613.84149122285</v>
      </c>
      <c r="N16" s="782"/>
      <c r="O16" s="14">
        <v>1597.62</v>
      </c>
      <c r="P16" s="14">
        <v>358.14</v>
      </c>
      <c r="Q16" s="14">
        <v>3310.77</v>
      </c>
      <c r="R16" s="14">
        <f>-2138.41+118.15</f>
        <v>-2020.2599999999998</v>
      </c>
      <c r="S16" s="794">
        <v>7085.19</v>
      </c>
      <c r="T16" s="794">
        <v>7893.87</v>
      </c>
      <c r="U16" s="794">
        <v>10149.299999999999</v>
      </c>
      <c r="V16" s="794">
        <v>10408.75</v>
      </c>
      <c r="W16" s="784">
        <f t="shared" si="1"/>
        <v>288358.94</v>
      </c>
      <c r="X16" s="784">
        <f t="shared" si="2"/>
        <v>251254.34149122285</v>
      </c>
      <c r="Y16" s="785">
        <f t="shared" si="3"/>
        <v>282737.08826122241</v>
      </c>
      <c r="Z16" s="14">
        <v>7200</v>
      </c>
      <c r="AA16" s="14">
        <v>2520</v>
      </c>
      <c r="AB16" s="786">
        <f t="shared" si="4"/>
        <v>1052.6175822951452</v>
      </c>
      <c r="AC16" s="14">
        <v>2376</v>
      </c>
      <c r="AD16" s="38">
        <f t="shared" si="5"/>
        <v>104930.76695507136</v>
      </c>
      <c r="AE16" s="14">
        <v>27767.66</v>
      </c>
      <c r="AF16" s="786">
        <f t="shared" si="6"/>
        <v>1095.4289295579424</v>
      </c>
      <c r="AG16" s="14">
        <v>3444.78</v>
      </c>
      <c r="AH16" s="14">
        <f>942.09+547</f>
        <v>1489.0900000000001</v>
      </c>
      <c r="AI16" s="14">
        <v>4165.8900000000003</v>
      </c>
      <c r="AJ16" s="38">
        <f t="shared" si="7"/>
        <v>67788.639417907136</v>
      </c>
      <c r="AK16" s="38">
        <f t="shared" si="8"/>
        <v>7457.8786219977655</v>
      </c>
      <c r="AL16" s="38">
        <f t="shared" si="9"/>
        <v>759.64611512532872</v>
      </c>
      <c r="AM16" s="38">
        <f t="shared" ref="AM16:AM19" si="13">272111.01/8714*F16</f>
        <v>45275.849598232737</v>
      </c>
      <c r="AN16" s="38">
        <f t="shared" si="10"/>
        <v>5412.8410410349406</v>
      </c>
      <c r="AO16" s="14"/>
      <c r="AQ16" s="791"/>
    </row>
    <row r="17" spans="1:43" x14ac:dyDescent="0.25">
      <c r="A17" s="792">
        <v>13</v>
      </c>
      <c r="B17" s="789" t="s">
        <v>490</v>
      </c>
      <c r="C17" s="793">
        <v>1979</v>
      </c>
      <c r="D17" s="793">
        <v>3</v>
      </c>
      <c r="E17" s="793">
        <v>24</v>
      </c>
      <c r="F17" s="787">
        <v>1460.41</v>
      </c>
      <c r="G17" s="795">
        <v>311863.92</v>
      </c>
      <c r="H17" s="795">
        <f>61333.02/7*12</f>
        <v>105142.31999999998</v>
      </c>
      <c r="I17" s="795">
        <f>61333.02</f>
        <v>61333.02</v>
      </c>
      <c r="J17" s="783">
        <f t="shared" si="11"/>
        <v>43809.299999999981</v>
      </c>
      <c r="K17" s="782">
        <f t="shared" si="0"/>
        <v>268054.62</v>
      </c>
      <c r="L17" s="783">
        <v>293653.28999999998</v>
      </c>
      <c r="M17" s="782">
        <f t="shared" si="12"/>
        <v>252402.14085265071</v>
      </c>
      <c r="N17" s="782"/>
      <c r="O17" s="14">
        <v>1601.28</v>
      </c>
      <c r="P17" s="14">
        <v>1568.78</v>
      </c>
      <c r="Q17" s="14">
        <v>2701.28</v>
      </c>
      <c r="R17" s="14">
        <v>2673.17</v>
      </c>
      <c r="S17" s="794">
        <v>6457.57</v>
      </c>
      <c r="T17" s="794">
        <v>7443.56</v>
      </c>
      <c r="U17" s="794">
        <v>10222.17</v>
      </c>
      <c r="V17" s="794">
        <v>11720.25</v>
      </c>
      <c r="W17" s="784">
        <f t="shared" si="1"/>
        <v>289036.92000000004</v>
      </c>
      <c r="X17" s="784">
        <f t="shared" si="2"/>
        <v>275807.90085265075</v>
      </c>
      <c r="Y17" s="785">
        <f t="shared" si="3"/>
        <v>280131.50819254556</v>
      </c>
      <c r="Z17" s="14">
        <v>7200</v>
      </c>
      <c r="AA17" s="14"/>
      <c r="AB17" s="786">
        <f t="shared" si="4"/>
        <v>1060.2477711288041</v>
      </c>
      <c r="AC17" s="14"/>
      <c r="AD17" s="38">
        <f t="shared" si="5"/>
        <v>105691.38655690446</v>
      </c>
      <c r="AE17" s="14">
        <v>27967.03</v>
      </c>
      <c r="AF17" s="786">
        <f t="shared" si="6"/>
        <v>1103.3694482486478</v>
      </c>
      <c r="AG17" s="14">
        <v>2826.28</v>
      </c>
      <c r="AH17" s="14">
        <f>944.11+547</f>
        <v>1491.1100000000001</v>
      </c>
      <c r="AI17" s="14">
        <v>5183.45</v>
      </c>
      <c r="AJ17" s="38">
        <f t="shared" si="7"/>
        <v>68280.024065318823</v>
      </c>
      <c r="AK17" s="38">
        <f t="shared" si="8"/>
        <v>7511.9391119054808</v>
      </c>
      <c r="AL17" s="38">
        <f t="shared" si="9"/>
        <v>765.15261948422744</v>
      </c>
      <c r="AM17" s="38">
        <f t="shared" si="13"/>
        <v>45604.044080112471</v>
      </c>
      <c r="AN17" s="38">
        <f t="shared" si="10"/>
        <v>5447.4745394426081</v>
      </c>
      <c r="AO17" s="14"/>
      <c r="AQ17" s="791"/>
    </row>
    <row r="18" spans="1:43" x14ac:dyDescent="0.25">
      <c r="A18" s="792">
        <v>14</v>
      </c>
      <c r="B18" s="789" t="s">
        <v>491</v>
      </c>
      <c r="C18" s="793">
        <v>1986</v>
      </c>
      <c r="D18" s="793">
        <v>3</v>
      </c>
      <c r="E18" s="793">
        <v>24</v>
      </c>
      <c r="F18" s="787">
        <v>1454.3</v>
      </c>
      <c r="G18" s="783">
        <v>310478.71999999997</v>
      </c>
      <c r="H18" s="783">
        <f>61080.6/7*12</f>
        <v>104709.59999999999</v>
      </c>
      <c r="I18" s="783">
        <f>61080.6</f>
        <v>61080.6</v>
      </c>
      <c r="J18" s="783">
        <f t="shared" si="11"/>
        <v>43628.999999999993</v>
      </c>
      <c r="K18" s="782">
        <f t="shared" si="0"/>
        <v>266849.71999999997</v>
      </c>
      <c r="L18" s="783">
        <v>287282.48</v>
      </c>
      <c r="M18" s="782">
        <f t="shared" si="12"/>
        <v>246913.05526158313</v>
      </c>
      <c r="N18" s="782"/>
      <c r="O18" s="14">
        <v>684.87</v>
      </c>
      <c r="P18" s="14">
        <v>738.18</v>
      </c>
      <c r="Q18" s="14">
        <v>2903.76</v>
      </c>
      <c r="R18" s="14">
        <f>2621.5+91.42</f>
        <v>2712.92</v>
      </c>
      <c r="S18" s="794">
        <v>7175</v>
      </c>
      <c r="T18" s="794">
        <v>8783.83</v>
      </c>
      <c r="U18" s="794">
        <v>10180.1</v>
      </c>
      <c r="V18" s="794">
        <v>12266.92</v>
      </c>
      <c r="W18" s="784">
        <f t="shared" si="1"/>
        <v>287793.44999999995</v>
      </c>
      <c r="X18" s="784">
        <f t="shared" si="2"/>
        <v>271414.9052615831</v>
      </c>
      <c r="Y18" s="785">
        <f t="shared" si="3"/>
        <v>279153.36232381244</v>
      </c>
      <c r="Z18" s="14">
        <v>7200</v>
      </c>
      <c r="AA18" s="14"/>
      <c r="AB18" s="786">
        <f t="shared" si="4"/>
        <v>1055.8119525014342</v>
      </c>
      <c r="AC18" s="14">
        <v>1320</v>
      </c>
      <c r="AD18" s="38">
        <f t="shared" si="5"/>
        <v>105249.19951911185</v>
      </c>
      <c r="AE18" s="14">
        <v>27851.9</v>
      </c>
      <c r="AF18" s="786">
        <f t="shared" si="6"/>
        <v>1098.7532190193224</v>
      </c>
      <c r="AG18" s="14">
        <v>3010.46</v>
      </c>
      <c r="AH18" s="14"/>
      <c r="AI18" s="14">
        <v>5289.83</v>
      </c>
      <c r="AJ18" s="38">
        <f t="shared" si="7"/>
        <v>67994.357062874915</v>
      </c>
      <c r="AK18" s="38">
        <f t="shared" si="8"/>
        <v>7480.510986944857</v>
      </c>
      <c r="AL18" s="38">
        <f t="shared" si="9"/>
        <v>761.95140714998649</v>
      </c>
      <c r="AM18" s="38">
        <f t="shared" si="13"/>
        <v>45413.24785896259</v>
      </c>
      <c r="AN18" s="38">
        <f t="shared" si="10"/>
        <v>5427.3403172474746</v>
      </c>
      <c r="AO18" s="14"/>
      <c r="AQ18" s="791"/>
    </row>
    <row r="19" spans="1:43" x14ac:dyDescent="0.25">
      <c r="A19" s="792">
        <v>15</v>
      </c>
      <c r="B19" s="789" t="s">
        <v>492</v>
      </c>
      <c r="C19" s="793">
        <v>1985</v>
      </c>
      <c r="D19" s="793">
        <v>3</v>
      </c>
      <c r="E19" s="793">
        <v>24</v>
      </c>
      <c r="F19" s="787">
        <v>1464.7</v>
      </c>
      <c r="G19" s="783">
        <v>312336.28999999998</v>
      </c>
      <c r="H19" s="783">
        <f>61471.8/7*12</f>
        <v>105380.22857142858</v>
      </c>
      <c r="I19" s="783">
        <f>61471.8</f>
        <v>61471.8</v>
      </c>
      <c r="J19" s="783">
        <f t="shared" si="11"/>
        <v>43908.42857142858</v>
      </c>
      <c r="K19" s="782">
        <f t="shared" si="0"/>
        <v>268427.8614285714</v>
      </c>
      <c r="L19" s="783">
        <v>286576.32</v>
      </c>
      <c r="M19" s="782">
        <f t="shared" si="12"/>
        <v>246289.243922536</v>
      </c>
      <c r="N19" s="782"/>
      <c r="O19" s="14">
        <v>636.03</v>
      </c>
      <c r="P19" s="14">
        <v>618.05999999999995</v>
      </c>
      <c r="Q19" s="14">
        <v>2946.01</v>
      </c>
      <c r="R19" s="14">
        <f>2789.79+64.72</f>
        <v>2854.5099999999998</v>
      </c>
      <c r="S19" s="794">
        <v>5381.25</v>
      </c>
      <c r="T19" s="794">
        <v>5813.4</v>
      </c>
      <c r="U19" s="794">
        <v>10245.299999999999</v>
      </c>
      <c r="V19" s="794">
        <v>11151.14</v>
      </c>
      <c r="W19" s="784">
        <f t="shared" si="1"/>
        <v>287636.45142857142</v>
      </c>
      <c r="X19" s="784">
        <f t="shared" si="2"/>
        <v>266726.35392253601</v>
      </c>
      <c r="Y19" s="785">
        <f t="shared" si="3"/>
        <v>287039.50465357082</v>
      </c>
      <c r="Z19" s="14">
        <v>7200</v>
      </c>
      <c r="AA19" s="14"/>
      <c r="AB19" s="786">
        <f t="shared" si="4"/>
        <v>1063.3622820799358</v>
      </c>
      <c r="AC19" s="14">
        <v>1320</v>
      </c>
      <c r="AD19" s="38">
        <f t="shared" si="5"/>
        <v>106001.85830684393</v>
      </c>
      <c r="AE19" s="14">
        <v>28028.48</v>
      </c>
      <c r="AF19" s="786">
        <f t="shared" si="6"/>
        <v>1106.6106304734933</v>
      </c>
      <c r="AG19" s="14">
        <v>3068.23</v>
      </c>
      <c r="AH19" s="14"/>
      <c r="AI19" s="14">
        <v>11269.34</v>
      </c>
      <c r="AJ19" s="38">
        <f t="shared" si="7"/>
        <v>68480.598769162403</v>
      </c>
      <c r="AK19" s="38">
        <f t="shared" si="8"/>
        <v>7534.0056677288958</v>
      </c>
      <c r="AL19" s="38">
        <f t="shared" si="9"/>
        <v>767.40027920826878</v>
      </c>
      <c r="AM19" s="38">
        <f t="shared" si="13"/>
        <v>45738.007384324083</v>
      </c>
      <c r="AN19" s="38">
        <f t="shared" si="10"/>
        <v>5461.6113337498291</v>
      </c>
      <c r="AO19" s="14"/>
      <c r="AQ19" s="791"/>
    </row>
    <row r="20" spans="1:43" x14ac:dyDescent="0.25">
      <c r="A20" s="792">
        <v>16</v>
      </c>
      <c r="B20" s="789" t="s">
        <v>493</v>
      </c>
      <c r="C20" s="793">
        <v>1976</v>
      </c>
      <c r="D20" s="793">
        <v>2</v>
      </c>
      <c r="E20" s="793">
        <v>18</v>
      </c>
      <c r="F20" s="787">
        <v>766.9</v>
      </c>
      <c r="G20" s="783">
        <v>136262.78</v>
      </c>
      <c r="H20" s="783">
        <f>32209.8/7*12</f>
        <v>55216.799999999996</v>
      </c>
      <c r="I20" s="783">
        <f>32209.8</f>
        <v>32209.8</v>
      </c>
      <c r="J20" s="783">
        <f t="shared" si="11"/>
        <v>23006.999999999996</v>
      </c>
      <c r="K20" s="782">
        <f t="shared" si="0"/>
        <v>113255.78</v>
      </c>
      <c r="L20" s="783">
        <v>117479.93</v>
      </c>
      <c r="M20" s="782">
        <f t="shared" si="12"/>
        <v>97644.280459384419</v>
      </c>
      <c r="N20" s="782"/>
      <c r="O20" s="14">
        <v>280.72000000000003</v>
      </c>
      <c r="P20" s="14">
        <v>256.66000000000003</v>
      </c>
      <c r="Q20" s="14">
        <f>126.89+635.32</f>
        <v>762.21</v>
      </c>
      <c r="R20" s="14">
        <f>48.88+651.85</f>
        <v>700.73</v>
      </c>
      <c r="S20" s="794">
        <v>4305</v>
      </c>
      <c r="T20" s="14">
        <v>4543.33</v>
      </c>
      <c r="U20" s="794">
        <v>9202.7999999999993</v>
      </c>
      <c r="V20" s="794">
        <v>8229.7999999999993</v>
      </c>
      <c r="W20" s="784">
        <f t="shared" si="1"/>
        <v>127806.51000000001</v>
      </c>
      <c r="X20" s="784">
        <f t="shared" si="2"/>
        <v>111374.80045938442</v>
      </c>
      <c r="Y20" s="785">
        <f t="shared" si="3"/>
        <v>127040.33987423043</v>
      </c>
      <c r="Z20" s="14">
        <v>5400</v>
      </c>
      <c r="AA20" s="14"/>
      <c r="AB20" s="786">
        <f t="shared" si="4"/>
        <v>556.76420709162471</v>
      </c>
      <c r="AC20" s="14">
        <v>1900.8</v>
      </c>
      <c r="AD20" s="38">
        <f t="shared" si="5"/>
        <v>55501.348491512668</v>
      </c>
      <c r="AE20" s="14">
        <v>14687.22</v>
      </c>
      <c r="AF20" s="786">
        <f t="shared" si="6"/>
        <v>579.40854271190142</v>
      </c>
      <c r="AG20" s="14">
        <v>1031</v>
      </c>
      <c r="AH20" s="14"/>
      <c r="AI20" s="14">
        <v>4019.47</v>
      </c>
      <c r="AJ20" s="38">
        <f t="shared" si="7"/>
        <v>35855.65043768051</v>
      </c>
      <c r="AK20" s="38">
        <f t="shared" si="8"/>
        <v>3944.7183358921893</v>
      </c>
      <c r="AL20" s="38">
        <f t="shared" si="9"/>
        <v>401.80192129775469</v>
      </c>
      <c r="AM20" s="38"/>
      <c r="AN20" s="38">
        <f t="shared" si="10"/>
        <v>3162.1579380437929</v>
      </c>
      <c r="AO20" s="14"/>
      <c r="AQ20" s="791"/>
    </row>
    <row r="21" spans="1:43" x14ac:dyDescent="0.25">
      <c r="A21" s="792">
        <v>17</v>
      </c>
      <c r="B21" s="789" t="s">
        <v>494</v>
      </c>
      <c r="C21" s="793">
        <v>1975</v>
      </c>
      <c r="D21" s="793">
        <v>2</v>
      </c>
      <c r="E21" s="793">
        <v>18</v>
      </c>
      <c r="F21" s="787">
        <v>778.78</v>
      </c>
      <c r="G21" s="783">
        <v>136711.63</v>
      </c>
      <c r="H21" s="783">
        <f>32355.96/7*12</f>
        <v>55467.360000000001</v>
      </c>
      <c r="I21" s="783">
        <f>32355.96</f>
        <v>32355.96</v>
      </c>
      <c r="J21" s="783">
        <f t="shared" si="11"/>
        <v>23111.4</v>
      </c>
      <c r="K21" s="782">
        <f t="shared" si="0"/>
        <v>113600.23000000001</v>
      </c>
      <c r="L21" s="783">
        <v>115787.02</v>
      </c>
      <c r="M21" s="782">
        <f t="shared" si="12"/>
        <v>96212.971076525107</v>
      </c>
      <c r="N21" s="782"/>
      <c r="O21" s="14">
        <v>122.12</v>
      </c>
      <c r="P21" s="14">
        <v>109.37</v>
      </c>
      <c r="Q21" s="14">
        <f>106.44+635.3</f>
        <v>741.74</v>
      </c>
      <c r="R21" s="14">
        <f>37.07+619.85</f>
        <v>656.92000000000007</v>
      </c>
      <c r="S21" s="14">
        <v>3587.57</v>
      </c>
      <c r="T21" s="14">
        <v>3723.91</v>
      </c>
      <c r="U21" s="794">
        <v>5392.66</v>
      </c>
      <c r="V21" s="794">
        <v>5547.88</v>
      </c>
      <c r="W21" s="784">
        <f t="shared" si="1"/>
        <v>123444.32000000002</v>
      </c>
      <c r="X21" s="784">
        <f t="shared" si="2"/>
        <v>106251.05107652511</v>
      </c>
      <c r="Y21" s="785">
        <f t="shared" si="3"/>
        <v>127420.64553925309</v>
      </c>
      <c r="Z21" s="14">
        <v>5700</v>
      </c>
      <c r="AA21" s="14"/>
      <c r="AB21" s="786">
        <f t="shared" si="4"/>
        <v>565.38900664860546</v>
      </c>
      <c r="AC21" s="14">
        <v>1900.8</v>
      </c>
      <c r="AD21" s="38">
        <f t="shared" si="5"/>
        <v>56361.116414422009</v>
      </c>
      <c r="AE21" s="14">
        <v>14753.93</v>
      </c>
      <c r="AF21" s="786">
        <f t="shared" si="6"/>
        <v>588.3841242576276</v>
      </c>
      <c r="AG21" s="14">
        <v>902.08</v>
      </c>
      <c r="AH21" s="14"/>
      <c r="AI21" s="14">
        <v>2622.7</v>
      </c>
      <c r="AJ21" s="38">
        <f t="shared" si="7"/>
        <v>36411.088079093533</v>
      </c>
      <c r="AK21" s="38">
        <f t="shared" si="8"/>
        <v>4005.8257212493404</v>
      </c>
      <c r="AL21" s="38">
        <f t="shared" si="9"/>
        <v>408.02620976433093</v>
      </c>
      <c r="AM21" s="38"/>
      <c r="AN21" s="38">
        <f t="shared" si="10"/>
        <v>3201.3059838176359</v>
      </c>
      <c r="AO21" s="14"/>
      <c r="AQ21" s="791"/>
    </row>
    <row r="22" spans="1:43" x14ac:dyDescent="0.25">
      <c r="A22" s="792">
        <v>19</v>
      </c>
      <c r="B22" s="789" t="s">
        <v>495</v>
      </c>
      <c r="C22" s="793">
        <v>1987</v>
      </c>
      <c r="D22" s="793">
        <v>1</v>
      </c>
      <c r="E22" s="793">
        <v>2</v>
      </c>
      <c r="F22" s="787">
        <v>125.8</v>
      </c>
      <c r="G22" s="783">
        <v>17315.16</v>
      </c>
      <c r="H22" s="783"/>
      <c r="I22" s="783"/>
      <c r="J22" s="783"/>
      <c r="K22" s="782">
        <f t="shared" si="0"/>
        <v>17315.16</v>
      </c>
      <c r="L22" s="783">
        <v>17315.16</v>
      </c>
      <c r="M22" s="782">
        <v>17315.16</v>
      </c>
      <c r="N22" s="782"/>
      <c r="O22" s="14"/>
      <c r="P22" s="14"/>
      <c r="Q22" s="14"/>
      <c r="R22" s="14"/>
      <c r="S22" s="14"/>
      <c r="T22" s="14"/>
      <c r="U22" s="14"/>
      <c r="V22" s="14"/>
      <c r="W22" s="784">
        <f t="shared" si="1"/>
        <v>17315.16</v>
      </c>
      <c r="X22" s="784">
        <f t="shared" si="2"/>
        <v>17315.16</v>
      </c>
      <c r="Y22" s="785">
        <f t="shared" si="3"/>
        <v>19031.105665109248</v>
      </c>
      <c r="Z22" s="14"/>
      <c r="AA22" s="14"/>
      <c r="AB22" s="786">
        <f t="shared" si="4"/>
        <v>91.329948170721593</v>
      </c>
      <c r="AC22" s="14"/>
      <c r="AD22" s="38">
        <f t="shared" si="5"/>
        <v>9104.2764900668844</v>
      </c>
      <c r="AE22" s="14">
        <v>2409.2199999999998</v>
      </c>
      <c r="AF22" s="786">
        <f t="shared" si="6"/>
        <v>95.044457782184381</v>
      </c>
      <c r="AG22" s="14"/>
      <c r="AH22" s="14">
        <f>242.14+250</f>
        <v>492.14</v>
      </c>
      <c r="AI22" s="14">
        <v>244.45</v>
      </c>
      <c r="AJ22" s="38">
        <f t="shared" si="7"/>
        <v>5881.6544856698511</v>
      </c>
      <c r="AK22" s="38">
        <f t="shared" si="8"/>
        <v>647.07988871461396</v>
      </c>
      <c r="AL22" s="38">
        <f t="shared" si="9"/>
        <v>65.910394704990935</v>
      </c>
      <c r="AM22" s="38"/>
      <c r="AN22" s="38"/>
      <c r="AO22" s="14"/>
      <c r="AQ22" s="791"/>
    </row>
    <row r="23" spans="1:43" x14ac:dyDescent="0.25">
      <c r="A23" s="6">
        <v>22</v>
      </c>
      <c r="B23" s="789" t="s">
        <v>496</v>
      </c>
      <c r="C23" s="285">
        <v>1981</v>
      </c>
      <c r="D23" s="285">
        <v>1</v>
      </c>
      <c r="E23" s="285">
        <v>1</v>
      </c>
      <c r="F23" s="787">
        <v>83.6</v>
      </c>
      <c r="G23" s="783">
        <v>1736.84</v>
      </c>
      <c r="H23" s="783"/>
      <c r="I23" s="783"/>
      <c r="J23" s="783"/>
      <c r="K23" s="782">
        <f t="shared" si="0"/>
        <v>1736.84</v>
      </c>
      <c r="L23" s="783">
        <v>6024.76</v>
      </c>
      <c r="M23" s="782">
        <v>6024.76</v>
      </c>
      <c r="N23" s="782"/>
      <c r="O23" s="14"/>
      <c r="P23" s="14"/>
      <c r="Q23" s="14"/>
      <c r="R23" s="14"/>
      <c r="S23" s="14"/>
      <c r="T23" s="14"/>
      <c r="U23" s="14"/>
      <c r="V23" s="14"/>
      <c r="W23" s="784">
        <f t="shared" si="1"/>
        <v>1736.84</v>
      </c>
      <c r="X23" s="784">
        <f t="shared" si="2"/>
        <v>6024.76</v>
      </c>
      <c r="Y23" s="785">
        <f t="shared" si="3"/>
        <v>11170.023987306306</v>
      </c>
      <c r="Z23" s="14"/>
      <c r="AA23" s="14"/>
      <c r="AB23" s="786">
        <f t="shared" si="4"/>
        <v>60.693033919493843</v>
      </c>
      <c r="AC23" s="14"/>
      <c r="AD23" s="38">
        <f t="shared" si="5"/>
        <v>6050.2187167694083</v>
      </c>
      <c r="AE23" s="14">
        <v>472.59</v>
      </c>
      <c r="AF23" s="786">
        <f t="shared" si="6"/>
        <v>63.161499766221098</v>
      </c>
      <c r="AG23" s="14"/>
      <c r="AH23" s="14"/>
      <c r="AI23" s="14">
        <v>140.91</v>
      </c>
      <c r="AJ23" s="38">
        <f t="shared" si="7"/>
        <v>3908.6352543879134</v>
      </c>
      <c r="AK23" s="38">
        <f t="shared" si="8"/>
        <v>430.01493399476726</v>
      </c>
      <c r="AL23" s="38">
        <f t="shared" si="9"/>
        <v>43.800548468499535</v>
      </c>
      <c r="AM23" s="38"/>
      <c r="AN23" s="38"/>
      <c r="AO23" s="14"/>
      <c r="AQ23" s="791"/>
    </row>
    <row r="24" spans="1:43" x14ac:dyDescent="0.25">
      <c r="A24" s="796">
        <v>23</v>
      </c>
      <c r="B24" s="789" t="s">
        <v>497</v>
      </c>
      <c r="C24" s="285">
        <v>1970</v>
      </c>
      <c r="D24" s="285">
        <v>1</v>
      </c>
      <c r="E24" s="285">
        <v>5</v>
      </c>
      <c r="F24" s="787">
        <v>259.72000000000003</v>
      </c>
      <c r="G24" s="783">
        <v>34829.64</v>
      </c>
      <c r="H24" s="783"/>
      <c r="I24" s="783"/>
      <c r="J24" s="783"/>
      <c r="K24" s="782">
        <f t="shared" si="0"/>
        <v>34829.64</v>
      </c>
      <c r="L24" s="783">
        <v>25317.03</v>
      </c>
      <c r="M24" s="782">
        <v>25317.03</v>
      </c>
      <c r="N24" s="782"/>
      <c r="O24" s="14"/>
      <c r="P24" s="14"/>
      <c r="Q24" s="14"/>
      <c r="R24" s="14"/>
      <c r="S24" s="14"/>
      <c r="T24" s="14"/>
      <c r="U24" s="14"/>
      <c r="V24" s="14"/>
      <c r="W24" s="784">
        <f t="shared" si="1"/>
        <v>34829.64</v>
      </c>
      <c r="X24" s="784">
        <f t="shared" si="2"/>
        <v>25317.03</v>
      </c>
      <c r="Y24" s="785">
        <f t="shared" si="3"/>
        <v>39270.067918459252</v>
      </c>
      <c r="Z24" s="14"/>
      <c r="AA24" s="14"/>
      <c r="AB24" s="786">
        <f t="shared" si="4"/>
        <v>188.5549613585041</v>
      </c>
      <c r="AC24" s="14"/>
      <c r="AD24" s="38">
        <f t="shared" si="5"/>
        <v>18796.205802863049</v>
      </c>
      <c r="AE24" s="14">
        <v>4893.1899999999996</v>
      </c>
      <c r="AF24" s="786">
        <f t="shared" si="6"/>
        <v>196.22374066127927</v>
      </c>
      <c r="AG24" s="14"/>
      <c r="AH24" s="14">
        <f>614.46+470</f>
        <v>1084.46</v>
      </c>
      <c r="AI24" s="14">
        <v>496.48</v>
      </c>
      <c r="AJ24" s="38">
        <f t="shared" si="7"/>
        <v>12142.951534325706</v>
      </c>
      <c r="AK24" s="38">
        <f t="shared" si="8"/>
        <v>1335.9267781952269</v>
      </c>
      <c r="AL24" s="38">
        <f t="shared" si="9"/>
        <v>136.07510105548684</v>
      </c>
      <c r="AM24" s="38"/>
      <c r="AN24" s="38"/>
      <c r="AO24" s="14"/>
      <c r="AQ24" s="791"/>
    </row>
    <row r="25" spans="1:43" x14ac:dyDescent="0.25">
      <c r="A25" s="797">
        <v>24</v>
      </c>
      <c r="B25" s="789" t="s">
        <v>498</v>
      </c>
      <c r="C25" s="793">
        <v>1973</v>
      </c>
      <c r="D25" s="793">
        <v>2</v>
      </c>
      <c r="E25" s="793">
        <v>16</v>
      </c>
      <c r="F25" s="787">
        <v>722.8</v>
      </c>
      <c r="G25" s="783">
        <v>133834.26999999999</v>
      </c>
      <c r="H25" s="783">
        <f>30362.64/7*12</f>
        <v>52050.239999999991</v>
      </c>
      <c r="I25" s="783">
        <f>30362.64</f>
        <v>30362.639999999999</v>
      </c>
      <c r="J25" s="783">
        <f t="shared" si="11"/>
        <v>21687.599999999991</v>
      </c>
      <c r="K25" s="782">
        <f t="shared" si="0"/>
        <v>112146.67</v>
      </c>
      <c r="L25" s="783">
        <v>133263.92000000001</v>
      </c>
      <c r="M25" s="782">
        <f>L25/G25*K25</f>
        <v>111668.74417999516</v>
      </c>
      <c r="N25" s="782"/>
      <c r="O25" s="14">
        <v>322.68</v>
      </c>
      <c r="P25" s="14">
        <v>355.92</v>
      </c>
      <c r="Q25" s="14">
        <v>512.52</v>
      </c>
      <c r="R25" s="14">
        <v>585.48</v>
      </c>
      <c r="S25" s="794">
        <v>3946.25</v>
      </c>
      <c r="T25" s="794">
        <v>4763.82</v>
      </c>
      <c r="U25" s="794">
        <v>5060.4399999999996</v>
      </c>
      <c r="V25" s="794">
        <v>6099.36</v>
      </c>
      <c r="W25" s="784">
        <f t="shared" si="1"/>
        <v>121988.56</v>
      </c>
      <c r="X25" s="784">
        <f t="shared" si="2"/>
        <v>123473.32417999515</v>
      </c>
      <c r="Y25" s="785">
        <f t="shared" si="3"/>
        <v>117147.87490558582</v>
      </c>
      <c r="Z25" s="14">
        <v>4800</v>
      </c>
      <c r="AA25" s="14"/>
      <c r="AB25" s="786">
        <f t="shared" si="4"/>
        <v>524.74790570586299</v>
      </c>
      <c r="AC25" s="14"/>
      <c r="AD25" s="38">
        <f t="shared" si="5"/>
        <v>52309.785747379523</v>
      </c>
      <c r="AE25" s="14">
        <v>13844.99</v>
      </c>
      <c r="AF25" s="786">
        <f t="shared" si="6"/>
        <v>546.09009606488769</v>
      </c>
      <c r="AG25" s="14">
        <v>550.08000000000004</v>
      </c>
      <c r="AH25" s="14">
        <f>191.27+170</f>
        <v>361.27</v>
      </c>
      <c r="AI25" s="14">
        <v>3303.7</v>
      </c>
      <c r="AJ25" s="38">
        <f t="shared" si="7"/>
        <v>33793.798586980665</v>
      </c>
      <c r="AK25" s="38">
        <f t="shared" si="8"/>
        <v>3717.8803144906433</v>
      </c>
      <c r="AL25" s="38">
        <f t="shared" si="9"/>
        <v>378.69660805061557</v>
      </c>
      <c r="AM25" s="38"/>
      <c r="AN25" s="38">
        <f>43252/13125.4*F25+635</f>
        <v>3016.8356469136179</v>
      </c>
      <c r="AO25" s="14"/>
      <c r="AQ25" s="791"/>
    </row>
    <row r="26" spans="1:43" x14ac:dyDescent="0.25">
      <c r="A26" s="797">
        <v>25</v>
      </c>
      <c r="B26" s="789" t="s">
        <v>499</v>
      </c>
      <c r="C26" s="793">
        <v>1973</v>
      </c>
      <c r="D26" s="793">
        <v>2</v>
      </c>
      <c r="E26" s="793">
        <v>16</v>
      </c>
      <c r="F26" s="787">
        <v>714.4</v>
      </c>
      <c r="G26" s="783">
        <v>132309.84</v>
      </c>
      <c r="H26" s="783">
        <f>30000.06/7*12</f>
        <v>51428.674285714296</v>
      </c>
      <c r="I26" s="783">
        <f>30000.06</f>
        <v>30000.06</v>
      </c>
      <c r="J26" s="783">
        <f t="shared" si="11"/>
        <v>21428.614285714295</v>
      </c>
      <c r="K26" s="782">
        <f t="shared" si="0"/>
        <v>110881.2257142857</v>
      </c>
      <c r="L26" s="783">
        <v>120039.37</v>
      </c>
      <c r="M26" s="782">
        <f>L26/G26*K26</f>
        <v>100598.05438182568</v>
      </c>
      <c r="N26" s="782"/>
      <c r="O26" s="14">
        <v>322.68</v>
      </c>
      <c r="P26" s="14">
        <v>314.94</v>
      </c>
      <c r="Q26" s="14">
        <v>512.76</v>
      </c>
      <c r="R26" s="14">
        <v>499.1</v>
      </c>
      <c r="S26" s="794">
        <v>3587.5</v>
      </c>
      <c r="T26" s="794">
        <v>3953.33</v>
      </c>
      <c r="U26" s="794">
        <v>5000.1000000000004</v>
      </c>
      <c r="V26" s="794">
        <v>5293.92</v>
      </c>
      <c r="W26" s="784">
        <f t="shared" si="1"/>
        <v>120304.26571428569</v>
      </c>
      <c r="X26" s="784">
        <f t="shared" si="2"/>
        <v>110659.34438182569</v>
      </c>
      <c r="Y26" s="785">
        <f t="shared" si="3"/>
        <v>115422.55110203449</v>
      </c>
      <c r="Z26" s="14">
        <v>4800</v>
      </c>
      <c r="AA26" s="14"/>
      <c r="AB26" s="786">
        <f t="shared" si="4"/>
        <v>518.64956258476559</v>
      </c>
      <c r="AC26" s="14"/>
      <c r="AD26" s="38">
        <f t="shared" si="5"/>
        <v>51701.869034211311</v>
      </c>
      <c r="AE26" s="14">
        <v>13679.84</v>
      </c>
      <c r="AF26" s="786">
        <f t="shared" si="6"/>
        <v>539.74372527498031</v>
      </c>
      <c r="AG26" s="14">
        <v>550.08000000000004</v>
      </c>
      <c r="AH26" s="14">
        <f>191.27+170</f>
        <v>361.27</v>
      </c>
      <c r="AI26" s="14">
        <v>2831.91</v>
      </c>
      <c r="AJ26" s="38">
        <f t="shared" si="7"/>
        <v>33401.064901133075</v>
      </c>
      <c r="AK26" s="38">
        <f t="shared" si="8"/>
        <v>3674.6730723189207</v>
      </c>
      <c r="AL26" s="38">
        <f t="shared" si="9"/>
        <v>374.2955960035415</v>
      </c>
      <c r="AM26" s="38"/>
      <c r="AN26" s="38">
        <f>43252/13125.4*F26+635</f>
        <v>2989.1552105078704</v>
      </c>
      <c r="AO26" s="14"/>
      <c r="AQ26" s="27"/>
    </row>
    <row r="27" spans="1:43" x14ac:dyDescent="0.25">
      <c r="A27" s="797">
        <v>26</v>
      </c>
      <c r="B27" s="789" t="s">
        <v>500</v>
      </c>
      <c r="C27" s="793">
        <v>1961</v>
      </c>
      <c r="D27" s="793">
        <v>1</v>
      </c>
      <c r="E27" s="793">
        <v>4</v>
      </c>
      <c r="F27" s="787">
        <v>61.68</v>
      </c>
      <c r="G27" s="783">
        <v>2286.36</v>
      </c>
      <c r="H27" s="783"/>
      <c r="I27" s="783"/>
      <c r="J27" s="783"/>
      <c r="K27" s="782">
        <f t="shared" si="0"/>
        <v>2286.36</v>
      </c>
      <c r="L27" s="783">
        <v>1454.14</v>
      </c>
      <c r="M27" s="782">
        <v>1454.14</v>
      </c>
      <c r="N27" s="782"/>
      <c r="O27" s="14"/>
      <c r="P27" s="14"/>
      <c r="Q27" s="14"/>
      <c r="R27" s="14"/>
      <c r="S27" s="14"/>
      <c r="T27" s="14"/>
      <c r="U27" s="14"/>
      <c r="V27" s="14"/>
      <c r="W27" s="784">
        <f t="shared" si="1"/>
        <v>2286.36</v>
      </c>
      <c r="X27" s="784">
        <f t="shared" si="2"/>
        <v>1454.14</v>
      </c>
      <c r="Y27" s="785">
        <f t="shared" si="3"/>
        <v>8343.2332958977622</v>
      </c>
      <c r="Z27" s="14"/>
      <c r="AA27" s="14"/>
      <c r="AB27" s="786">
        <f t="shared" si="4"/>
        <v>44.779262346344261</v>
      </c>
      <c r="AC27" s="14"/>
      <c r="AD27" s="38">
        <f t="shared" si="5"/>
        <v>4463.8455795494874</v>
      </c>
      <c r="AE27" s="14">
        <v>434.83</v>
      </c>
      <c r="AF27" s="786">
        <f t="shared" si="6"/>
        <v>46.600494085891356</v>
      </c>
      <c r="AG27" s="14"/>
      <c r="AH27" s="14"/>
      <c r="AI27" s="14">
        <v>119.81</v>
      </c>
      <c r="AJ27" s="38">
        <f t="shared" si="7"/>
        <v>2883.7873503665851</v>
      </c>
      <c r="AK27" s="38">
        <f t="shared" si="8"/>
        <v>317.26460680379483</v>
      </c>
      <c r="AL27" s="38">
        <f t="shared" si="9"/>
        <v>32.316002745658508</v>
      </c>
      <c r="AM27" s="38"/>
      <c r="AN27" s="38"/>
      <c r="AO27" s="14"/>
    </row>
    <row r="28" spans="1:43" x14ac:dyDescent="0.25">
      <c r="A28" s="797">
        <v>27</v>
      </c>
      <c r="B28" s="798" t="s">
        <v>501</v>
      </c>
      <c r="C28" s="793">
        <v>1961</v>
      </c>
      <c r="D28" s="793">
        <v>1</v>
      </c>
      <c r="E28" s="793">
        <v>2</v>
      </c>
      <c r="F28" s="787">
        <v>40</v>
      </c>
      <c r="G28" s="783">
        <v>5256</v>
      </c>
      <c r="H28" s="783"/>
      <c r="I28" s="783"/>
      <c r="J28" s="783"/>
      <c r="K28" s="782">
        <f t="shared" si="0"/>
        <v>5256</v>
      </c>
      <c r="L28" s="783">
        <v>5256</v>
      </c>
      <c r="M28" s="782">
        <v>5256</v>
      </c>
      <c r="N28" s="782"/>
      <c r="O28" s="14"/>
      <c r="P28" s="14"/>
      <c r="Q28" s="14"/>
      <c r="R28" s="14"/>
      <c r="S28" s="14"/>
      <c r="T28" s="14"/>
      <c r="U28" s="14"/>
      <c r="V28" s="14"/>
      <c r="W28" s="784">
        <f t="shared" si="1"/>
        <v>5256</v>
      </c>
      <c r="X28" s="784">
        <f t="shared" si="2"/>
        <v>5256</v>
      </c>
      <c r="Y28" s="785">
        <f t="shared" si="3"/>
        <v>5894.7484149790916</v>
      </c>
      <c r="Z28" s="14"/>
      <c r="AA28" s="14"/>
      <c r="AB28" s="786">
        <f t="shared" si="4"/>
        <v>29.039729148083179</v>
      </c>
      <c r="AC28" s="14"/>
      <c r="AD28" s="38">
        <f t="shared" si="5"/>
        <v>2894.8414912772291</v>
      </c>
      <c r="AE28" s="14">
        <v>766.06</v>
      </c>
      <c r="AF28" s="786">
        <f t="shared" si="6"/>
        <v>30.220813285273252</v>
      </c>
      <c r="AG28" s="14"/>
      <c r="AH28" s="14"/>
      <c r="AI28" s="14">
        <v>77.72</v>
      </c>
      <c r="AJ28" s="38">
        <f t="shared" si="7"/>
        <v>1870.1604087980447</v>
      </c>
      <c r="AK28" s="38">
        <f t="shared" si="8"/>
        <v>205.74877224630015</v>
      </c>
      <c r="AL28" s="38">
        <f t="shared" si="9"/>
        <v>20.957200224162456</v>
      </c>
      <c r="AM28" s="38"/>
      <c r="AN28" s="38"/>
      <c r="AO28" s="14"/>
    </row>
    <row r="29" spans="1:43" x14ac:dyDescent="0.25">
      <c r="A29" s="797">
        <v>28</v>
      </c>
      <c r="B29" s="798" t="s">
        <v>502</v>
      </c>
      <c r="C29" s="793">
        <v>1969</v>
      </c>
      <c r="D29" s="793">
        <v>2</v>
      </c>
      <c r="E29" s="793">
        <v>16</v>
      </c>
      <c r="F29" s="787">
        <v>716.27</v>
      </c>
      <c r="G29" s="783">
        <v>132638.88</v>
      </c>
      <c r="H29" s="783">
        <f>30083.34/7*12</f>
        <v>51571.44</v>
      </c>
      <c r="I29" s="783">
        <f>30083.34</f>
        <v>30083.34</v>
      </c>
      <c r="J29" s="783">
        <f t="shared" si="11"/>
        <v>21488.100000000002</v>
      </c>
      <c r="K29" s="782">
        <f t="shared" si="0"/>
        <v>111150.78</v>
      </c>
      <c r="L29" s="783">
        <v>116909.97</v>
      </c>
      <c r="M29" s="782">
        <f>L29/G29*K29</f>
        <v>97970.02474143781</v>
      </c>
      <c r="N29" s="782"/>
      <c r="O29" s="14">
        <v>322.62</v>
      </c>
      <c r="P29" s="14">
        <v>287.02999999999997</v>
      </c>
      <c r="Q29" s="14">
        <v>512.76</v>
      </c>
      <c r="R29" s="14">
        <v>453.92</v>
      </c>
      <c r="S29" s="794">
        <v>3766.91</v>
      </c>
      <c r="T29" s="794">
        <v>3935.07</v>
      </c>
      <c r="U29" s="794">
        <v>5013.8900000000003</v>
      </c>
      <c r="V29" s="794">
        <v>5563.55</v>
      </c>
      <c r="W29" s="784">
        <f t="shared" si="1"/>
        <v>120766.95999999999</v>
      </c>
      <c r="X29" s="784">
        <f t="shared" si="2"/>
        <v>108209.59474143782</v>
      </c>
      <c r="Y29" s="785">
        <f t="shared" si="3"/>
        <v>115022.16866492687</v>
      </c>
      <c r="Z29" s="14">
        <v>4800</v>
      </c>
      <c r="AA29" s="14"/>
      <c r="AB29" s="786">
        <f t="shared" si="4"/>
        <v>520.00716992243849</v>
      </c>
      <c r="AC29" s="14"/>
      <c r="AD29" s="38">
        <f t="shared" si="5"/>
        <v>51837.202873928516</v>
      </c>
      <c r="AE29" s="14">
        <v>13717.6</v>
      </c>
      <c r="AF29" s="786">
        <f t="shared" si="6"/>
        <v>541.15654829606683</v>
      </c>
      <c r="AG29" s="14">
        <v>550.08000000000004</v>
      </c>
      <c r="AH29" s="14">
        <f>191.27+170</f>
        <v>361.27</v>
      </c>
      <c r="AI29" s="14">
        <v>5146.79</v>
      </c>
      <c r="AJ29" s="38">
        <f t="shared" si="7"/>
        <v>33488.49490024439</v>
      </c>
      <c r="AK29" s="38">
        <f t="shared" si="8"/>
        <v>3684.2918274214353</v>
      </c>
      <c r="AL29" s="38">
        <f t="shared" si="9"/>
        <v>375.27534511402109</v>
      </c>
      <c r="AM29" s="38"/>
      <c r="AN29" s="38"/>
      <c r="AO29" s="14"/>
    </row>
    <row r="30" spans="1:43" x14ac:dyDescent="0.25">
      <c r="A30" s="797">
        <v>29</v>
      </c>
      <c r="B30" s="798" t="s">
        <v>503</v>
      </c>
      <c r="C30" s="793">
        <v>1964</v>
      </c>
      <c r="D30" s="793">
        <v>1</v>
      </c>
      <c r="E30" s="793">
        <v>2</v>
      </c>
      <c r="F30" s="787">
        <v>84.5</v>
      </c>
      <c r="G30" s="783">
        <v>11093.16</v>
      </c>
      <c r="H30" s="783"/>
      <c r="I30" s="783"/>
      <c r="J30" s="783"/>
      <c r="K30" s="782">
        <f t="shared" si="0"/>
        <v>11093.16</v>
      </c>
      <c r="L30" s="783">
        <v>9804.06</v>
      </c>
      <c r="M30" s="782">
        <v>9804.06</v>
      </c>
      <c r="N30" s="782"/>
      <c r="O30" s="14"/>
      <c r="P30" s="14"/>
      <c r="Q30" s="14"/>
      <c r="R30" s="14"/>
      <c r="S30" s="14"/>
      <c r="T30" s="14"/>
      <c r="U30" s="14"/>
      <c r="V30" s="14"/>
      <c r="W30" s="784">
        <f t="shared" si="1"/>
        <v>11093.16</v>
      </c>
      <c r="X30" s="784">
        <f t="shared" si="2"/>
        <v>9804.06</v>
      </c>
      <c r="Y30" s="785">
        <f t="shared" si="3"/>
        <v>12452.660776643334</v>
      </c>
      <c r="Z30" s="14"/>
      <c r="AA30" s="14"/>
      <c r="AB30" s="786">
        <f t="shared" si="4"/>
        <v>61.346427825325719</v>
      </c>
      <c r="AC30" s="14"/>
      <c r="AD30" s="38">
        <f t="shared" si="5"/>
        <v>6115.352650323146</v>
      </c>
      <c r="AE30" s="14">
        <v>1618.3</v>
      </c>
      <c r="AF30" s="786">
        <f t="shared" si="6"/>
        <v>63.84146806513975</v>
      </c>
      <c r="AG30" s="14"/>
      <c r="AH30" s="14"/>
      <c r="AI30" s="14">
        <v>164.19</v>
      </c>
      <c r="AJ30" s="38">
        <f t="shared" si="7"/>
        <v>3950.7138635858696</v>
      </c>
      <c r="AK30" s="38">
        <f t="shared" si="8"/>
        <v>434.64428137030905</v>
      </c>
      <c r="AL30" s="38">
        <f t="shared" si="9"/>
        <v>44.272085473543193</v>
      </c>
      <c r="AM30" s="38"/>
      <c r="AN30" s="38"/>
      <c r="AO30" s="14"/>
    </row>
    <row r="31" spans="1:43" x14ac:dyDescent="0.25">
      <c r="A31" s="797">
        <v>30</v>
      </c>
      <c r="B31" s="789" t="s">
        <v>504</v>
      </c>
      <c r="C31" s="793">
        <v>1968</v>
      </c>
      <c r="D31" s="793">
        <v>2</v>
      </c>
      <c r="E31" s="793">
        <v>16</v>
      </c>
      <c r="F31" s="787">
        <v>714.5</v>
      </c>
      <c r="G31" s="783">
        <v>132346.74</v>
      </c>
      <c r="H31" s="783">
        <f>30009/7*12</f>
        <v>51444</v>
      </c>
      <c r="I31" s="783">
        <f>30009</f>
        <v>30009</v>
      </c>
      <c r="J31" s="783">
        <f t="shared" si="11"/>
        <v>21435</v>
      </c>
      <c r="K31" s="782">
        <f t="shared" si="0"/>
        <v>110911.73999999999</v>
      </c>
      <c r="L31" s="783">
        <v>110880.68</v>
      </c>
      <c r="M31" s="782">
        <f>L31/G31*K31</f>
        <v>92922.342863777376</v>
      </c>
      <c r="N31" s="782"/>
      <c r="O31" s="14">
        <v>322.74</v>
      </c>
      <c r="P31" s="14">
        <v>317.62</v>
      </c>
      <c r="Q31" s="14">
        <v>512.58000000000004</v>
      </c>
      <c r="R31" s="14">
        <v>492.33</v>
      </c>
      <c r="S31" s="794">
        <v>5381.25</v>
      </c>
      <c r="T31" s="794">
        <v>5690.62</v>
      </c>
      <c r="U31" s="794">
        <v>5001.5</v>
      </c>
      <c r="V31" s="794">
        <v>5323.93</v>
      </c>
      <c r="W31" s="784">
        <f t="shared" si="1"/>
        <v>122129.81</v>
      </c>
      <c r="X31" s="784">
        <f t="shared" si="2"/>
        <v>104746.84286377736</v>
      </c>
      <c r="Y31" s="785">
        <f t="shared" si="3"/>
        <v>119850.84805207676</v>
      </c>
      <c r="Z31" s="14">
        <v>4800</v>
      </c>
      <c r="AA31" s="14"/>
      <c r="AB31" s="786">
        <f t="shared" si="4"/>
        <v>518.72216190763584</v>
      </c>
      <c r="AC31" s="14">
        <v>1900.8</v>
      </c>
      <c r="AD31" s="38">
        <f t="shared" si="5"/>
        <v>51709.106137939503</v>
      </c>
      <c r="AE31" s="14">
        <v>13683.7</v>
      </c>
      <c r="AF31" s="786">
        <f t="shared" si="6"/>
        <v>539.81927730819348</v>
      </c>
      <c r="AG31" s="14">
        <v>550.08000000000004</v>
      </c>
      <c r="AH31" s="14">
        <f>191.27+170</f>
        <v>361.27</v>
      </c>
      <c r="AI31" s="14">
        <v>5342.59</v>
      </c>
      <c r="AJ31" s="38">
        <f t="shared" si="7"/>
        <v>33405.740302155078</v>
      </c>
      <c r="AK31" s="38">
        <f t="shared" si="8"/>
        <v>3675.1874442495364</v>
      </c>
      <c r="AL31" s="38">
        <f t="shared" si="9"/>
        <v>374.34798900410192</v>
      </c>
      <c r="AM31" s="38"/>
      <c r="AN31" s="38">
        <f>43252/13125.4*F31+635</f>
        <v>2989.4847395127008</v>
      </c>
      <c r="AO31" s="14"/>
    </row>
    <row r="32" spans="1:43" x14ac:dyDescent="0.25">
      <c r="A32" s="797">
        <v>31</v>
      </c>
      <c r="B32" s="789" t="s">
        <v>505</v>
      </c>
      <c r="C32" s="793">
        <v>1981</v>
      </c>
      <c r="D32" s="793">
        <v>1</v>
      </c>
      <c r="E32" s="793">
        <v>2</v>
      </c>
      <c r="F32" s="787">
        <v>45.37</v>
      </c>
      <c r="G32" s="783">
        <v>5994.24</v>
      </c>
      <c r="H32" s="783"/>
      <c r="I32" s="783"/>
      <c r="J32" s="783"/>
      <c r="K32" s="782">
        <f t="shared" si="0"/>
        <v>5994.24</v>
      </c>
      <c r="L32" s="783">
        <v>3367.28</v>
      </c>
      <c r="M32" s="782">
        <v>3367.28</v>
      </c>
      <c r="N32" s="782"/>
      <c r="O32" s="14"/>
      <c r="P32" s="14"/>
      <c r="Q32" s="14"/>
      <c r="R32" s="14"/>
      <c r="S32" s="14"/>
      <c r="T32" s="14"/>
      <c r="U32" s="14"/>
      <c r="V32" s="14"/>
      <c r="W32" s="784">
        <f t="shared" si="1"/>
        <v>5994.24</v>
      </c>
      <c r="X32" s="784">
        <f t="shared" si="2"/>
        <v>3367.28</v>
      </c>
      <c r="Y32" s="785">
        <f t="shared" si="3"/>
        <v>6686.1409246900366</v>
      </c>
      <c r="Z32" s="14"/>
      <c r="AA32" s="14"/>
      <c r="AB32" s="786">
        <f t="shared" si="4"/>
        <v>32.938312786213345</v>
      </c>
      <c r="AC32" s="14"/>
      <c r="AD32" s="38">
        <f t="shared" si="5"/>
        <v>3283.473961481197</v>
      </c>
      <c r="AE32" s="14">
        <v>868.91</v>
      </c>
      <c r="AF32" s="786">
        <f t="shared" si="6"/>
        <v>34.277957468821185</v>
      </c>
      <c r="AG32" s="14"/>
      <c r="AH32" s="14"/>
      <c r="AI32" s="14">
        <v>88.17</v>
      </c>
      <c r="AJ32" s="38">
        <f t="shared" si="7"/>
        <v>2121.2294436791822</v>
      </c>
      <c r="AK32" s="38">
        <f t="shared" si="8"/>
        <v>233.37054492036594</v>
      </c>
      <c r="AL32" s="38">
        <f t="shared" si="9"/>
        <v>23.770704354256267</v>
      </c>
      <c r="AM32" s="38"/>
      <c r="AN32" s="38"/>
      <c r="AO32" s="14"/>
    </row>
    <row r="33" spans="1:41" x14ac:dyDescent="0.25">
      <c r="A33" s="797">
        <v>32</v>
      </c>
      <c r="B33" s="789" t="s">
        <v>506</v>
      </c>
      <c r="C33" s="793">
        <v>1970</v>
      </c>
      <c r="D33" s="793">
        <v>2</v>
      </c>
      <c r="E33" s="793">
        <v>16</v>
      </c>
      <c r="F33" s="787">
        <v>714.01</v>
      </c>
      <c r="G33" s="783">
        <v>132441.29</v>
      </c>
      <c r="H33" s="783">
        <f>30030.42/7*12</f>
        <v>51480.719999999994</v>
      </c>
      <c r="I33" s="783">
        <f>30030.42</f>
        <v>30030.42</v>
      </c>
      <c r="J33" s="783">
        <f t="shared" si="11"/>
        <v>21450.299999999996</v>
      </c>
      <c r="K33" s="782">
        <f t="shared" si="0"/>
        <v>110990.99000000002</v>
      </c>
      <c r="L33" s="783">
        <v>129187.63</v>
      </c>
      <c r="M33" s="782">
        <f>L33/G33*K33</f>
        <v>108264.29544331456</v>
      </c>
      <c r="N33" s="782"/>
      <c r="O33" s="14">
        <v>322.86</v>
      </c>
      <c r="P33" s="14">
        <v>362.08</v>
      </c>
      <c r="Q33" s="14">
        <v>512.64</v>
      </c>
      <c r="R33" s="14">
        <v>576.92999999999995</v>
      </c>
      <c r="S33" s="794">
        <v>3946.25</v>
      </c>
      <c r="T33" s="794">
        <v>4681.7299999999996</v>
      </c>
      <c r="U33" s="794">
        <v>5005.07</v>
      </c>
      <c r="V33" s="794">
        <v>6433.23</v>
      </c>
      <c r="W33" s="784">
        <f t="shared" si="1"/>
        <v>120777.81000000003</v>
      </c>
      <c r="X33" s="784">
        <f t="shared" si="2"/>
        <v>120318.26544331455</v>
      </c>
      <c r="Y33" s="785">
        <f>Z33+AA33+AB33+AC33+AD33+AE33+AG33+AH33+AI33+AJ33+AK33+AL33+AM33+AN33+AF33+AO33</f>
        <v>119425.11899686958</v>
      </c>
      <c r="Z33" s="14">
        <v>4800</v>
      </c>
      <c r="AA33" s="14"/>
      <c r="AB33" s="786">
        <f t="shared" si="4"/>
        <v>518.36642522557179</v>
      </c>
      <c r="AC33" s="14"/>
      <c r="AD33" s="38">
        <f t="shared" si="5"/>
        <v>51673.644329671355</v>
      </c>
      <c r="AE33" s="14">
        <v>13693.36</v>
      </c>
      <c r="AF33" s="786">
        <f t="shared" si="6"/>
        <v>539.44907234544894</v>
      </c>
      <c r="AG33" s="14">
        <v>550.08000000000004</v>
      </c>
      <c r="AH33" s="14">
        <f>191.27+170</f>
        <v>361.27</v>
      </c>
      <c r="AI33" s="14">
        <v>1871.49</v>
      </c>
      <c r="AJ33" s="38">
        <f t="shared" si="7"/>
        <v>33382.830837147296</v>
      </c>
      <c r="AK33" s="38">
        <f t="shared" si="8"/>
        <v>3672.6670217895194</v>
      </c>
      <c r="AL33" s="38">
        <f t="shared" si="9"/>
        <v>374.09126330135592</v>
      </c>
      <c r="AM33" s="38"/>
      <c r="AN33" s="38">
        <f>43252/13125.4*F33+635</f>
        <v>2987.8700473890322</v>
      </c>
      <c r="AO33" s="14">
        <v>5000</v>
      </c>
    </row>
    <row r="34" spans="1:41" x14ac:dyDescent="0.25">
      <c r="A34" s="797">
        <v>33</v>
      </c>
      <c r="B34" s="789" t="s">
        <v>78</v>
      </c>
      <c r="C34" s="793">
        <v>1962</v>
      </c>
      <c r="D34" s="793">
        <v>1</v>
      </c>
      <c r="E34" s="793">
        <v>2</v>
      </c>
      <c r="F34" s="787">
        <v>77.209999999999994</v>
      </c>
      <c r="G34" s="783">
        <v>10136.16</v>
      </c>
      <c r="H34" s="783"/>
      <c r="I34" s="783"/>
      <c r="J34" s="783"/>
      <c r="K34" s="782">
        <f t="shared" si="0"/>
        <v>10136.16</v>
      </c>
      <c r="L34" s="783">
        <v>10136.16</v>
      </c>
      <c r="M34" s="782">
        <v>10136.16</v>
      </c>
      <c r="N34" s="782"/>
      <c r="O34" s="14"/>
      <c r="P34" s="14"/>
      <c r="Q34" s="14"/>
      <c r="R34" s="14"/>
      <c r="S34" s="14"/>
      <c r="T34" s="14"/>
      <c r="U34" s="14"/>
      <c r="V34" s="14"/>
      <c r="W34" s="784">
        <f t="shared" si="1"/>
        <v>10136.16</v>
      </c>
      <c r="X34" s="784">
        <f t="shared" si="2"/>
        <v>10136.16</v>
      </c>
      <c r="Y34" s="785">
        <f t="shared" si="3"/>
        <v>11378.301783013394</v>
      </c>
      <c r="Z34" s="14"/>
      <c r="AA34" s="14"/>
      <c r="AB34" s="786">
        <f t="shared" si="4"/>
        <v>56.053937188087552</v>
      </c>
      <c r="AC34" s="14"/>
      <c r="AD34" s="38">
        <f t="shared" si="5"/>
        <v>5587.7677885378707</v>
      </c>
      <c r="AE34" s="14">
        <v>1478.65</v>
      </c>
      <c r="AF34" s="786">
        <f t="shared" si="6"/>
        <v>58.333724843898693</v>
      </c>
      <c r="AG34" s="14"/>
      <c r="AH34" s="14"/>
      <c r="AI34" s="14">
        <v>150.02000000000001</v>
      </c>
      <c r="AJ34" s="38">
        <f t="shared" si="7"/>
        <v>3609.8771290824257</v>
      </c>
      <c r="AK34" s="38">
        <f t="shared" si="8"/>
        <v>397.14656762842083</v>
      </c>
      <c r="AL34" s="38">
        <f t="shared" si="9"/>
        <v>40.452635732689579</v>
      </c>
      <c r="AM34" s="38"/>
      <c r="AN34" s="38"/>
      <c r="AO34" s="14"/>
    </row>
    <row r="35" spans="1:41" x14ac:dyDescent="0.25">
      <c r="A35" s="792">
        <v>34</v>
      </c>
      <c r="B35" s="789" t="s">
        <v>507</v>
      </c>
      <c r="C35" s="793">
        <v>1990</v>
      </c>
      <c r="D35" s="793">
        <v>3</v>
      </c>
      <c r="E35" s="793">
        <v>24</v>
      </c>
      <c r="F35" s="787">
        <v>1444.1</v>
      </c>
      <c r="G35" s="783">
        <v>307895.09000000003</v>
      </c>
      <c r="H35" s="783">
        <f>60572.4/7*12</f>
        <v>103838.40000000001</v>
      </c>
      <c r="I35" s="783">
        <f>60572.4</f>
        <v>60572.4</v>
      </c>
      <c r="J35" s="783">
        <f t="shared" si="11"/>
        <v>43266.000000000007</v>
      </c>
      <c r="K35" s="782">
        <f t="shared" si="0"/>
        <v>264629.09000000003</v>
      </c>
      <c r="L35" s="783">
        <v>301090.5</v>
      </c>
      <c r="M35" s="782">
        <f>L35/G35*K35</f>
        <v>258780.69384817081</v>
      </c>
      <c r="N35" s="782"/>
      <c r="O35" s="14">
        <v>712.96</v>
      </c>
      <c r="P35" s="14">
        <v>696.91</v>
      </c>
      <c r="Q35" s="14">
        <v>9482.82</v>
      </c>
      <c r="R35" s="14">
        <f>8857.25+72.13</f>
        <v>8929.3799999999992</v>
      </c>
      <c r="S35" s="794">
        <v>3946.25</v>
      </c>
      <c r="T35" s="794">
        <v>4475.21</v>
      </c>
      <c r="U35" s="794">
        <v>10095.4</v>
      </c>
      <c r="V35" s="794">
        <v>11755.41</v>
      </c>
      <c r="W35" s="784">
        <f t="shared" si="1"/>
        <v>288866.52000000008</v>
      </c>
      <c r="X35" s="784">
        <f t="shared" si="2"/>
        <v>284637.60384817078</v>
      </c>
      <c r="Y35" s="785">
        <f t="shared" si="3"/>
        <v>281410.50926962629</v>
      </c>
      <c r="Z35" s="14"/>
      <c r="AA35" s="14"/>
      <c r="AB35" s="786">
        <f t="shared" si="4"/>
        <v>1048.406821568673</v>
      </c>
      <c r="AC35" s="14"/>
      <c r="AD35" s="38">
        <f t="shared" si="5"/>
        <v>104511.01493883616</v>
      </c>
      <c r="AE35" s="14">
        <v>27620.25</v>
      </c>
      <c r="AF35" s="786">
        <f t="shared" si="6"/>
        <v>1091.0469116315776</v>
      </c>
      <c r="AG35" s="14">
        <v>15817.74</v>
      </c>
      <c r="AH35" s="14"/>
      <c r="AI35" s="14">
        <v>5131.47</v>
      </c>
      <c r="AJ35" s="38">
        <f t="shared" si="7"/>
        <v>67517.466158631403</v>
      </c>
      <c r="AK35" s="38">
        <f t="shared" si="8"/>
        <v>7428.0450500220504</v>
      </c>
      <c r="AL35" s="38">
        <f t="shared" si="9"/>
        <v>756.60732109282503</v>
      </c>
      <c r="AM35" s="38">
        <f t="shared" ref="AM35" si="14">272111.01/8714*F35</f>
        <v>45094.733709088825</v>
      </c>
      <c r="AN35" s="38">
        <f>43252/13125.4*F35+635</f>
        <v>5393.7283587547809</v>
      </c>
      <c r="AO35" s="14"/>
    </row>
    <row r="36" spans="1:41" x14ac:dyDescent="0.25">
      <c r="A36" s="799">
        <v>35</v>
      </c>
      <c r="B36" s="800" t="s">
        <v>508</v>
      </c>
      <c r="C36" s="801">
        <v>1980</v>
      </c>
      <c r="D36" s="801">
        <v>1</v>
      </c>
      <c r="E36" s="801">
        <v>1</v>
      </c>
      <c r="F36" s="802">
        <v>36</v>
      </c>
      <c r="G36" s="803">
        <v>2917.37</v>
      </c>
      <c r="H36" s="803"/>
      <c r="I36" s="803"/>
      <c r="J36" s="783"/>
      <c r="K36" s="782">
        <f t="shared" si="0"/>
        <v>2917.37</v>
      </c>
      <c r="L36" s="803">
        <v>3858.26</v>
      </c>
      <c r="M36" s="804">
        <v>3858.26</v>
      </c>
      <c r="N36" s="804"/>
      <c r="O36" s="14"/>
      <c r="P36" s="14"/>
      <c r="Q36" s="14"/>
      <c r="R36" s="14"/>
      <c r="S36" s="14"/>
      <c r="T36" s="14"/>
      <c r="U36" s="14"/>
      <c r="V36" s="14"/>
      <c r="W36" s="784">
        <f t="shared" si="1"/>
        <v>2917.37</v>
      </c>
      <c r="X36" s="784">
        <f t="shared" si="2"/>
        <v>3858.26</v>
      </c>
      <c r="Y36" s="785">
        <f t="shared" si="3"/>
        <v>5175.0115734811852</v>
      </c>
      <c r="Z36" s="14"/>
      <c r="AA36" s="14"/>
      <c r="AB36" s="786">
        <f t="shared" si="4"/>
        <v>26.135756233274861</v>
      </c>
      <c r="AC36" s="14"/>
      <c r="AD36" s="38">
        <f t="shared" si="5"/>
        <v>2605.3573421495062</v>
      </c>
      <c r="AE36" s="14">
        <v>541.78</v>
      </c>
      <c r="AF36" s="786">
        <f t="shared" si="6"/>
        <v>27.198731956745927</v>
      </c>
      <c r="AG36" s="14"/>
      <c r="AH36" s="14"/>
      <c r="AI36" s="14">
        <v>87.36</v>
      </c>
      <c r="AJ36" s="38">
        <f t="shared" si="7"/>
        <v>1683.1443679182403</v>
      </c>
      <c r="AK36" s="38">
        <f t="shared" si="8"/>
        <v>185.17389502167015</v>
      </c>
      <c r="AL36" s="38">
        <f t="shared" si="9"/>
        <v>18.861480201746211</v>
      </c>
      <c r="AM36" s="786"/>
      <c r="AN36" s="38"/>
      <c r="AO36" s="14"/>
    </row>
    <row r="37" spans="1:41" x14ac:dyDescent="0.25">
      <c r="A37" s="792"/>
      <c r="B37" s="805" t="s">
        <v>12</v>
      </c>
      <c r="C37" s="793"/>
      <c r="D37" s="793"/>
      <c r="E37" s="806">
        <f>SUM(E6:E36)</f>
        <v>292</v>
      </c>
      <c r="F37" s="807">
        <f>SUM(F6:F36)</f>
        <v>15078.35</v>
      </c>
      <c r="G37" s="808">
        <f>SUM(G7:G36)</f>
        <v>2935443.74</v>
      </c>
      <c r="H37" s="808">
        <f>SUM(H15:H36)</f>
        <v>996256.18285714288</v>
      </c>
      <c r="I37" s="808">
        <f>SUM(I15:I36)</f>
        <v>581149.44000000006</v>
      </c>
      <c r="J37" s="808">
        <f>SUM(J15:J36)</f>
        <v>415106.74285714276</v>
      </c>
      <c r="K37" s="809">
        <f t="shared" si="0"/>
        <v>2520336.9971428574</v>
      </c>
      <c r="L37" s="810">
        <f>SUM(L7:L36)</f>
        <v>2707056.6499999994</v>
      </c>
      <c r="M37" s="808">
        <f>SUM(M7:M36)</f>
        <v>2324780.006564592</v>
      </c>
      <c r="N37" s="808"/>
      <c r="O37" s="811">
        <f t="shared" ref="O37:V37" si="15">SUM(O15:O36)</f>
        <v>8817.2799999999988</v>
      </c>
      <c r="P37" s="811">
        <f t="shared" si="15"/>
        <v>7520.8399999999983</v>
      </c>
      <c r="Q37" s="811">
        <f t="shared" si="15"/>
        <v>30268.489999999998</v>
      </c>
      <c r="R37" s="811">
        <f t="shared" si="15"/>
        <v>24294.29</v>
      </c>
      <c r="S37" s="811">
        <f t="shared" si="15"/>
        <v>65382.17</v>
      </c>
      <c r="T37" s="811">
        <f t="shared" si="15"/>
        <v>73616.070000000022</v>
      </c>
      <c r="U37" s="812">
        <f t="shared" si="15"/>
        <v>100692.83000000002</v>
      </c>
      <c r="V37" s="812">
        <f t="shared" si="15"/>
        <v>111249.09000000001</v>
      </c>
      <c r="W37" s="784">
        <f t="shared" si="1"/>
        <v>2725497.7671428574</v>
      </c>
      <c r="X37" s="784">
        <f t="shared" si="2"/>
        <v>2541460.2965645916</v>
      </c>
      <c r="Y37" s="785">
        <f>SUM(Y7:Y36)</f>
        <v>2711579.5122687747</v>
      </c>
      <c r="Z37" s="514">
        <f>SUM(Z7:Z36)</f>
        <v>71100</v>
      </c>
      <c r="AA37" s="514">
        <v>2520</v>
      </c>
      <c r="AB37" s="813">
        <f>SUM(AB7:AB36)</f>
        <v>10946.779999999999</v>
      </c>
      <c r="AC37" s="514">
        <f>SUM(AC14:AC36)</f>
        <v>10718.4</v>
      </c>
      <c r="AD37" s="814">
        <f>SUM(AD7:AD36)</f>
        <v>1091235.8300000003</v>
      </c>
      <c r="AE37" s="514">
        <f>SUM(AE7:AE36)</f>
        <v>285599.32999999996</v>
      </c>
      <c r="AF37" s="813">
        <f>SUM(AF7:AF36)</f>
        <v>11392</v>
      </c>
      <c r="AG37" s="514">
        <f>SUM(AG14:AG36)</f>
        <v>37929.220000000008</v>
      </c>
      <c r="AH37" s="14">
        <f>SUM(AH15:AH36)</f>
        <v>7835.9400000000023</v>
      </c>
      <c r="AI37" s="14">
        <f>SUM(AI7:AI36)</f>
        <v>63886.559999999998</v>
      </c>
      <c r="AJ37" s="814">
        <f>SUM(AJ7:AJ36)</f>
        <v>704973.33000000007</v>
      </c>
      <c r="AK37" s="814">
        <f>SUM(AK7:AK36)</f>
        <v>77558.8</v>
      </c>
      <c r="AL37" s="814">
        <f t="shared" si="9"/>
        <v>7900</v>
      </c>
      <c r="AM37" s="813">
        <f>SUM(AM15:AM36)</f>
        <v>272111.32226877444</v>
      </c>
      <c r="AN37" s="814">
        <f>SUM(AN15:AN36)</f>
        <v>50872.000000000007</v>
      </c>
      <c r="AO37" s="514">
        <v>5000</v>
      </c>
    </row>
    <row r="38" spans="1:41" x14ac:dyDescent="0.25">
      <c r="F38" s="144"/>
      <c r="G38" s="144"/>
      <c r="H38" s="144"/>
      <c r="I38" s="144"/>
      <c r="J38" s="144"/>
      <c r="K38" s="144"/>
      <c r="L38" s="144"/>
      <c r="M38" s="144"/>
      <c r="N38" s="144"/>
      <c r="Z38" s="144"/>
      <c r="AA38" s="144"/>
      <c r="AB38" s="144"/>
      <c r="AC38" s="144"/>
      <c r="AD38" s="144"/>
      <c r="AE38" s="144"/>
      <c r="AF38" s="144"/>
      <c r="AG38" s="144"/>
      <c r="AJ38" s="144"/>
      <c r="AK38" s="144"/>
      <c r="AL38" s="144"/>
      <c r="AM38" s="144"/>
      <c r="AN38" s="144"/>
      <c r="AO38" s="144"/>
    </row>
    <row r="39" spans="1:41" x14ac:dyDescent="0.25">
      <c r="F39" s="144"/>
      <c r="G39" s="144"/>
      <c r="H39" s="144"/>
      <c r="I39" s="144"/>
      <c r="J39" s="144"/>
      <c r="K39" s="144"/>
      <c r="L39" s="144"/>
      <c r="M39" s="144"/>
      <c r="N39" s="144"/>
      <c r="Z39" s="144"/>
      <c r="AA39" s="144"/>
      <c r="AB39" s="144"/>
      <c r="AC39" s="144"/>
      <c r="AD39" s="144"/>
      <c r="AE39" s="144"/>
      <c r="AF39" s="144"/>
      <c r="AG39" s="144"/>
    </row>
    <row r="40" spans="1:41" x14ac:dyDescent="0.25">
      <c r="B40" t="s">
        <v>509</v>
      </c>
      <c r="F40" s="144"/>
      <c r="G40" s="144"/>
      <c r="H40" s="144"/>
      <c r="I40" s="144"/>
      <c r="J40" s="144"/>
      <c r="K40" s="144"/>
      <c r="L40" s="144"/>
      <c r="M40" s="144"/>
      <c r="N40" s="144"/>
      <c r="Z40" s="144"/>
      <c r="AA40" s="144"/>
      <c r="AB40" s="144"/>
      <c r="AC40" s="144"/>
      <c r="AD40" s="144"/>
      <c r="AE40" s="144"/>
      <c r="AF40" s="144"/>
      <c r="AG40" s="144"/>
    </row>
    <row r="41" spans="1:41" x14ac:dyDescent="0.25">
      <c r="F41" s="144"/>
      <c r="G41" s="144"/>
      <c r="H41" s="144"/>
      <c r="I41" s="144"/>
      <c r="J41" s="144"/>
      <c r="K41" s="144"/>
      <c r="L41" s="144"/>
      <c r="M41" s="144"/>
      <c r="N41" s="144"/>
    </row>
    <row r="42" spans="1:41" x14ac:dyDescent="0.25">
      <c r="A42" s="860" t="s">
        <v>0</v>
      </c>
      <c r="B42" s="860" t="s">
        <v>130</v>
      </c>
      <c r="C42" s="860" t="s">
        <v>43</v>
      </c>
      <c r="D42" s="860" t="s">
        <v>44</v>
      </c>
      <c r="E42" s="860" t="s">
        <v>45</v>
      </c>
      <c r="F42" s="1024" t="s">
        <v>1</v>
      </c>
      <c r="G42" s="1031" t="s">
        <v>4</v>
      </c>
      <c r="H42" s="815"/>
      <c r="I42" s="815"/>
      <c r="J42" s="1033" t="s">
        <v>5</v>
      </c>
      <c r="K42" s="1034" t="s">
        <v>510</v>
      </c>
      <c r="L42" s="1035"/>
      <c r="M42" s="1035"/>
      <c r="N42" s="1035"/>
    </row>
    <row r="43" spans="1:41" ht="30" x14ac:dyDescent="0.25">
      <c r="A43" s="861"/>
      <c r="B43" s="861"/>
      <c r="C43" s="861"/>
      <c r="D43" s="861"/>
      <c r="E43" s="861"/>
      <c r="F43" s="1025"/>
      <c r="G43" s="1032"/>
      <c r="H43" s="816" t="s">
        <v>5</v>
      </c>
      <c r="I43" s="817" t="s">
        <v>511</v>
      </c>
      <c r="J43" s="1033"/>
      <c r="K43" s="818" t="s">
        <v>512</v>
      </c>
      <c r="L43" s="819" t="s">
        <v>513</v>
      </c>
      <c r="M43" s="820" t="s">
        <v>514</v>
      </c>
      <c r="N43" s="820" t="s">
        <v>515</v>
      </c>
      <c r="O43" s="821" t="s">
        <v>516</v>
      </c>
      <c r="P43" s="821" t="s">
        <v>517</v>
      </c>
      <c r="Q43" s="821" t="s">
        <v>518</v>
      </c>
      <c r="R43" s="821" t="s">
        <v>519</v>
      </c>
      <c r="S43" s="821" t="s">
        <v>520</v>
      </c>
      <c r="T43" s="822" t="s">
        <v>77</v>
      </c>
    </row>
    <row r="44" spans="1:41" ht="25.5" x14ac:dyDescent="0.25">
      <c r="A44" s="61">
        <v>1</v>
      </c>
      <c r="B44" s="34" t="s">
        <v>480</v>
      </c>
      <c r="C44" s="270">
        <v>1967</v>
      </c>
      <c r="D44" s="270">
        <v>1</v>
      </c>
      <c r="E44" s="270">
        <v>2</v>
      </c>
      <c r="F44" s="782">
        <v>34.9</v>
      </c>
      <c r="G44" s="823"/>
      <c r="H44" s="783"/>
      <c r="I44" s="783"/>
      <c r="J44" s="782"/>
      <c r="K44" s="782"/>
      <c r="L44" s="782"/>
      <c r="M44" s="782"/>
      <c r="N44" s="782"/>
      <c r="O44" s="14"/>
      <c r="P44" s="14"/>
      <c r="Q44" s="14"/>
      <c r="R44" s="14"/>
      <c r="S44" s="14"/>
      <c r="T44" s="774"/>
    </row>
    <row r="45" spans="1:41" x14ac:dyDescent="0.25">
      <c r="A45" s="6">
        <v>2</v>
      </c>
      <c r="B45" s="36" t="s">
        <v>481</v>
      </c>
      <c r="C45" s="285">
        <v>1962</v>
      </c>
      <c r="D45" s="285">
        <v>1</v>
      </c>
      <c r="E45" s="285">
        <v>2</v>
      </c>
      <c r="F45" s="787">
        <v>72.599999999999994</v>
      </c>
      <c r="G45" s="823"/>
      <c r="H45" s="783"/>
      <c r="I45" s="783"/>
      <c r="J45" s="782"/>
      <c r="K45" s="782"/>
      <c r="L45" s="782"/>
      <c r="M45" s="782"/>
      <c r="N45" s="782"/>
      <c r="O45" s="14"/>
      <c r="P45" s="14"/>
      <c r="Q45" s="14"/>
      <c r="R45" s="14"/>
      <c r="S45" s="14"/>
      <c r="T45" s="774"/>
    </row>
    <row r="46" spans="1:41" x14ac:dyDescent="0.25">
      <c r="A46" s="6">
        <v>5</v>
      </c>
      <c r="B46" s="36" t="s">
        <v>482</v>
      </c>
      <c r="C46" s="285">
        <v>1963</v>
      </c>
      <c r="D46" s="285">
        <v>1</v>
      </c>
      <c r="E46" s="285">
        <v>1</v>
      </c>
      <c r="F46" s="787">
        <v>47.8</v>
      </c>
      <c r="G46" s="823"/>
      <c r="H46" s="783"/>
      <c r="I46" s="783"/>
      <c r="J46" s="782"/>
      <c r="K46" s="782"/>
      <c r="L46" s="782"/>
      <c r="M46" s="782"/>
      <c r="N46" s="782"/>
      <c r="O46" s="14"/>
      <c r="P46" s="14"/>
      <c r="Q46" s="14"/>
      <c r="R46" s="14"/>
      <c r="S46" s="14"/>
      <c r="T46" s="774"/>
    </row>
    <row r="47" spans="1:41" x14ac:dyDescent="0.25">
      <c r="A47" s="6">
        <v>6</v>
      </c>
      <c r="B47" s="36" t="s">
        <v>483</v>
      </c>
      <c r="C47" s="285">
        <v>1983</v>
      </c>
      <c r="D47" s="285">
        <v>1</v>
      </c>
      <c r="E47" s="285">
        <v>1</v>
      </c>
      <c r="F47" s="787">
        <v>47.9</v>
      </c>
      <c r="G47" s="823"/>
      <c r="H47" s="783"/>
      <c r="I47" s="783"/>
      <c r="J47" s="782"/>
      <c r="K47" s="782"/>
      <c r="L47" s="782"/>
      <c r="M47" s="782"/>
      <c r="N47" s="782"/>
      <c r="O47" s="14"/>
      <c r="P47" s="14"/>
      <c r="Q47" s="14"/>
      <c r="R47" s="14"/>
      <c r="S47" s="14"/>
      <c r="T47" s="774"/>
    </row>
    <row r="48" spans="1:41" x14ac:dyDescent="0.25">
      <c r="A48" s="6">
        <v>7</v>
      </c>
      <c r="B48" s="36" t="s">
        <v>484</v>
      </c>
      <c r="C48" s="285">
        <v>1963</v>
      </c>
      <c r="D48" s="285">
        <v>1</v>
      </c>
      <c r="E48" s="285">
        <v>1</v>
      </c>
      <c r="F48" s="787">
        <v>53.6</v>
      </c>
      <c r="G48" s="823"/>
      <c r="H48" s="783"/>
      <c r="I48" s="783"/>
      <c r="J48" s="782"/>
      <c r="K48" s="782"/>
      <c r="L48" s="782"/>
      <c r="M48" s="782"/>
      <c r="N48" s="782"/>
      <c r="O48" s="14"/>
      <c r="P48" s="14"/>
      <c r="Q48" s="14"/>
      <c r="R48" s="14"/>
      <c r="S48" s="14"/>
      <c r="T48" s="774"/>
    </row>
    <row r="49" spans="1:20" x14ac:dyDescent="0.25">
      <c r="A49" s="6">
        <v>8</v>
      </c>
      <c r="B49" s="36" t="s">
        <v>485</v>
      </c>
      <c r="C49" s="285">
        <v>1967</v>
      </c>
      <c r="D49" s="285">
        <v>1</v>
      </c>
      <c r="E49" s="285">
        <v>2</v>
      </c>
      <c r="F49" s="787">
        <v>49.4</v>
      </c>
      <c r="G49" s="823"/>
      <c r="H49" s="783"/>
      <c r="I49" s="783"/>
      <c r="J49" s="782"/>
      <c r="K49" s="782"/>
      <c r="L49" s="782"/>
      <c r="M49" s="782"/>
      <c r="N49" s="782"/>
      <c r="O49" s="14"/>
      <c r="P49" s="14"/>
      <c r="Q49" s="14"/>
      <c r="R49" s="14"/>
      <c r="S49" s="14"/>
      <c r="T49" s="774"/>
    </row>
    <row r="50" spans="1:20" x14ac:dyDescent="0.25">
      <c r="A50" s="6">
        <v>9</v>
      </c>
      <c r="B50" s="36" t="s">
        <v>486</v>
      </c>
      <c r="C50" s="285">
        <v>1972</v>
      </c>
      <c r="D50" s="285">
        <v>1</v>
      </c>
      <c r="E50" s="285">
        <v>1</v>
      </c>
      <c r="F50" s="787">
        <v>24.6</v>
      </c>
      <c r="G50" s="823"/>
      <c r="H50" s="783"/>
      <c r="I50" s="783"/>
      <c r="J50" s="782"/>
      <c r="K50" s="782"/>
      <c r="L50" s="782"/>
      <c r="M50" s="782"/>
      <c r="N50" s="782"/>
      <c r="O50" s="14"/>
      <c r="P50" s="14"/>
      <c r="Q50" s="14"/>
      <c r="R50" s="14"/>
      <c r="S50" s="14"/>
      <c r="T50" s="774"/>
    </row>
    <row r="51" spans="1:20" x14ac:dyDescent="0.25">
      <c r="A51" s="788">
        <v>10</v>
      </c>
      <c r="B51" s="789" t="s">
        <v>487</v>
      </c>
      <c r="C51" s="790">
        <v>1993</v>
      </c>
      <c r="D51" s="790">
        <v>1</v>
      </c>
      <c r="E51" s="790">
        <v>1</v>
      </c>
      <c r="F51" s="787">
        <v>92</v>
      </c>
      <c r="G51" s="823"/>
      <c r="H51" s="783"/>
      <c r="I51" s="783"/>
      <c r="J51" s="782"/>
      <c r="K51" s="782"/>
      <c r="L51" s="782"/>
      <c r="M51" s="782"/>
      <c r="N51" s="782"/>
      <c r="O51" s="14"/>
      <c r="P51" s="14"/>
      <c r="Q51" s="14"/>
      <c r="R51" s="14"/>
      <c r="S51" s="14"/>
      <c r="T51" s="774"/>
    </row>
    <row r="52" spans="1:20" x14ac:dyDescent="0.25">
      <c r="A52" s="792">
        <v>11</v>
      </c>
      <c r="B52" s="798" t="s">
        <v>488</v>
      </c>
      <c r="C52" s="793">
        <v>1980</v>
      </c>
      <c r="D52" s="793">
        <v>3</v>
      </c>
      <c r="E52" s="793">
        <v>24</v>
      </c>
      <c r="F52" s="787">
        <v>1440.6</v>
      </c>
      <c r="G52" s="823">
        <f>60744.6/7*12</f>
        <v>104133.59999999999</v>
      </c>
      <c r="H52" s="783">
        <v>68716.66</v>
      </c>
      <c r="I52" s="783">
        <f t="shared" ref="I52:I74" si="16">L15-M15</f>
        <v>41457.861957831745</v>
      </c>
      <c r="J52" s="782">
        <f>SUM(H52:I52)</f>
        <v>110174.52195783175</v>
      </c>
      <c r="K52" s="782"/>
      <c r="L52" s="782">
        <f>67115+11054.5</f>
        <v>78169.5</v>
      </c>
      <c r="M52" s="782"/>
      <c r="N52" s="782">
        <v>10560</v>
      </c>
      <c r="O52" s="14">
        <v>1514.97</v>
      </c>
      <c r="P52" s="14"/>
      <c r="Q52" s="14"/>
      <c r="R52" s="14"/>
      <c r="S52" s="14"/>
      <c r="T52" s="785">
        <f t="shared" ref="T52:T58" si="17">SUM(K52:S52)</f>
        <v>90244.47</v>
      </c>
    </row>
    <row r="53" spans="1:20" x14ac:dyDescent="0.25">
      <c r="A53" s="792">
        <v>12</v>
      </c>
      <c r="B53" s="798" t="s">
        <v>489</v>
      </c>
      <c r="C53" s="793">
        <v>1978</v>
      </c>
      <c r="D53" s="793">
        <v>3</v>
      </c>
      <c r="E53" s="793">
        <v>24</v>
      </c>
      <c r="F53" s="787">
        <v>1449.9</v>
      </c>
      <c r="G53" s="823">
        <f>60895.8/7*12</f>
        <v>104392.79999999999</v>
      </c>
      <c r="H53" s="783">
        <v>64283.040000000001</v>
      </c>
      <c r="I53" s="783">
        <f t="shared" si="16"/>
        <v>38333.518508777139</v>
      </c>
      <c r="J53" s="782">
        <f t="shared" ref="J53:J74" si="18">SUM(H53:I53)</f>
        <v>102616.55850877715</v>
      </c>
      <c r="K53" s="782">
        <v>7260</v>
      </c>
      <c r="L53" s="782"/>
      <c r="M53" s="782"/>
      <c r="N53" s="782"/>
      <c r="O53" s="14"/>
      <c r="P53" s="14">
        <v>299</v>
      </c>
      <c r="Q53" s="14"/>
      <c r="R53" s="14"/>
      <c r="S53" s="14"/>
      <c r="T53" s="785">
        <f t="shared" si="17"/>
        <v>7559</v>
      </c>
    </row>
    <row r="54" spans="1:20" x14ac:dyDescent="0.25">
      <c r="A54" s="792">
        <v>13</v>
      </c>
      <c r="B54" s="798" t="s">
        <v>490</v>
      </c>
      <c r="C54" s="793">
        <v>1979</v>
      </c>
      <c r="D54" s="793">
        <v>3</v>
      </c>
      <c r="E54" s="793">
        <v>24</v>
      </c>
      <c r="F54" s="787">
        <v>1460.41</v>
      </c>
      <c r="G54" s="824">
        <f>61333.02/7*12</f>
        <v>105142.31999999998</v>
      </c>
      <c r="H54" s="783">
        <v>70522.73</v>
      </c>
      <c r="I54" s="783">
        <f t="shared" si="16"/>
        <v>41251.149147349264</v>
      </c>
      <c r="J54" s="782">
        <f t="shared" si="18"/>
        <v>111773.87914734926</v>
      </c>
      <c r="K54" s="825">
        <v>7260</v>
      </c>
      <c r="L54" s="825">
        <f>68466+9793.71</f>
        <v>78259.709999999992</v>
      </c>
      <c r="M54" s="782"/>
      <c r="N54" s="782"/>
      <c r="O54" s="14"/>
      <c r="P54" s="14"/>
      <c r="Q54" s="14">
        <v>2195</v>
      </c>
      <c r="R54" s="14"/>
      <c r="S54" s="14"/>
      <c r="T54" s="785">
        <f t="shared" si="17"/>
        <v>87714.709999999992</v>
      </c>
    </row>
    <row r="55" spans="1:20" x14ac:dyDescent="0.25">
      <c r="A55" s="792">
        <v>14</v>
      </c>
      <c r="B55" s="798" t="s">
        <v>491</v>
      </c>
      <c r="C55" s="793">
        <v>1986</v>
      </c>
      <c r="D55" s="793">
        <v>3</v>
      </c>
      <c r="E55" s="793">
        <v>24</v>
      </c>
      <c r="F55" s="787">
        <v>1454.3</v>
      </c>
      <c r="G55" s="823">
        <f>61080.6/7*12</f>
        <v>104709.59999999999</v>
      </c>
      <c r="H55" s="783">
        <v>73745.47</v>
      </c>
      <c r="I55" s="783">
        <f t="shared" si="16"/>
        <v>40369.424738416856</v>
      </c>
      <c r="J55" s="782">
        <f t="shared" si="18"/>
        <v>114114.89473841686</v>
      </c>
      <c r="K55" s="782">
        <v>13200</v>
      </c>
      <c r="L55" s="782"/>
      <c r="M55" s="782"/>
      <c r="N55" s="782">
        <v>10560</v>
      </c>
      <c r="O55" s="14">
        <v>529</v>
      </c>
      <c r="P55" s="14"/>
      <c r="Q55" s="14"/>
      <c r="R55" s="14"/>
      <c r="S55" s="14"/>
      <c r="T55" s="785">
        <f t="shared" si="17"/>
        <v>24289</v>
      </c>
    </row>
    <row r="56" spans="1:20" x14ac:dyDescent="0.25">
      <c r="A56" s="792">
        <v>15</v>
      </c>
      <c r="B56" s="798" t="s">
        <v>492</v>
      </c>
      <c r="C56" s="793">
        <v>1985</v>
      </c>
      <c r="D56" s="793">
        <v>3</v>
      </c>
      <c r="E56" s="793">
        <v>24</v>
      </c>
      <c r="F56" s="787">
        <v>1464.7</v>
      </c>
      <c r="G56" s="823">
        <f>61471.8/7*12</f>
        <v>105380.22857142858</v>
      </c>
      <c r="H56" s="783">
        <v>67638.070000000007</v>
      </c>
      <c r="I56" s="783">
        <f t="shared" si="16"/>
        <v>40287.076077464008</v>
      </c>
      <c r="J56" s="782">
        <f t="shared" si="18"/>
        <v>107925.14607746401</v>
      </c>
      <c r="K56" s="782">
        <v>13200</v>
      </c>
      <c r="L56" s="782"/>
      <c r="M56" s="782">
        <f>20000+5000+20500</f>
        <v>45500</v>
      </c>
      <c r="N56" s="782"/>
      <c r="O56" s="14"/>
      <c r="P56" s="14"/>
      <c r="Q56" s="14"/>
      <c r="R56" s="14"/>
      <c r="S56" s="14"/>
      <c r="T56" s="785">
        <f t="shared" si="17"/>
        <v>58700</v>
      </c>
    </row>
    <row r="57" spans="1:20" x14ac:dyDescent="0.25">
      <c r="A57" s="792">
        <v>16</v>
      </c>
      <c r="B57" s="798" t="s">
        <v>493</v>
      </c>
      <c r="C57" s="793">
        <v>1976</v>
      </c>
      <c r="D57" s="793">
        <v>2</v>
      </c>
      <c r="E57" s="793">
        <v>18</v>
      </c>
      <c r="F57" s="787">
        <v>766.9</v>
      </c>
      <c r="G57" s="823">
        <f>32209.8/7*12</f>
        <v>55216.799999999996</v>
      </c>
      <c r="H57" s="783">
        <v>33510.910000000003</v>
      </c>
      <c r="I57" s="783">
        <f t="shared" si="16"/>
        <v>19835.649540615574</v>
      </c>
      <c r="J57" s="782">
        <f t="shared" si="18"/>
        <v>53346.559540615577</v>
      </c>
      <c r="K57" s="782"/>
      <c r="L57" s="782"/>
      <c r="M57" s="782"/>
      <c r="N57" s="782"/>
      <c r="O57" s="14">
        <v>10495.5</v>
      </c>
      <c r="P57" s="14"/>
      <c r="Q57" s="14"/>
      <c r="R57" s="14"/>
      <c r="S57" s="14">
        <v>1542.86</v>
      </c>
      <c r="T57" s="785">
        <f t="shared" si="17"/>
        <v>12038.36</v>
      </c>
    </row>
    <row r="58" spans="1:20" x14ac:dyDescent="0.25">
      <c r="A58" s="792">
        <v>17</v>
      </c>
      <c r="B58" s="798" t="s">
        <v>494</v>
      </c>
      <c r="C58" s="793">
        <v>1975</v>
      </c>
      <c r="D58" s="793">
        <v>2</v>
      </c>
      <c r="E58" s="793">
        <v>18</v>
      </c>
      <c r="F58" s="787">
        <v>778.78</v>
      </c>
      <c r="G58" s="823">
        <f>32355.96/7*12</f>
        <v>55467.360000000001</v>
      </c>
      <c r="H58" s="783">
        <v>33444.39</v>
      </c>
      <c r="I58" s="783">
        <f t="shared" si="16"/>
        <v>19574.048923474897</v>
      </c>
      <c r="J58" s="782">
        <f t="shared" si="18"/>
        <v>53018.438923474896</v>
      </c>
      <c r="K58" s="782">
        <v>6600</v>
      </c>
      <c r="L58" s="782"/>
      <c r="M58" s="782"/>
      <c r="N58" s="782"/>
      <c r="O58" s="14">
        <f>9870.26+568.17</f>
        <v>10438.43</v>
      </c>
      <c r="P58" s="14"/>
      <c r="Q58" s="14"/>
      <c r="R58" s="14"/>
      <c r="S58" s="14"/>
      <c r="T58" s="785">
        <f t="shared" si="17"/>
        <v>17038.43</v>
      </c>
    </row>
    <row r="59" spans="1:20" x14ac:dyDescent="0.25">
      <c r="A59" s="792">
        <v>19</v>
      </c>
      <c r="B59" s="798" t="s">
        <v>495</v>
      </c>
      <c r="C59" s="793">
        <v>1987</v>
      </c>
      <c r="D59" s="793">
        <v>1</v>
      </c>
      <c r="E59" s="793">
        <v>2</v>
      </c>
      <c r="F59" s="787">
        <v>125.8</v>
      </c>
      <c r="G59" s="823"/>
      <c r="H59" s="783"/>
      <c r="I59" s="783">
        <f t="shared" si="16"/>
        <v>0</v>
      </c>
      <c r="J59" s="782">
        <f t="shared" si="18"/>
        <v>0</v>
      </c>
      <c r="K59" s="782"/>
      <c r="L59" s="782"/>
      <c r="M59" s="782"/>
      <c r="N59" s="782"/>
      <c r="O59" s="14"/>
      <c r="P59" s="14"/>
      <c r="Q59" s="14"/>
      <c r="R59" s="14"/>
      <c r="S59" s="14"/>
      <c r="T59" s="774"/>
    </row>
    <row r="60" spans="1:20" x14ac:dyDescent="0.25">
      <c r="A60" s="6">
        <v>22</v>
      </c>
      <c r="B60" s="36" t="s">
        <v>496</v>
      </c>
      <c r="C60" s="285">
        <v>1981</v>
      </c>
      <c r="D60" s="285">
        <v>1</v>
      </c>
      <c r="E60" s="285">
        <v>1</v>
      </c>
      <c r="F60" s="787">
        <v>83.6</v>
      </c>
      <c r="G60" s="823"/>
      <c r="H60" s="783"/>
      <c r="I60" s="783">
        <f t="shared" si="16"/>
        <v>0</v>
      </c>
      <c r="J60" s="782">
        <f t="shared" si="18"/>
        <v>0</v>
      </c>
      <c r="K60" s="782"/>
      <c r="L60" s="782"/>
      <c r="M60" s="782"/>
      <c r="N60" s="782"/>
      <c r="O60" s="14"/>
      <c r="P60" s="14"/>
      <c r="Q60" s="14"/>
      <c r="R60" s="14"/>
      <c r="S60" s="14"/>
      <c r="T60" s="774"/>
    </row>
    <row r="61" spans="1:20" x14ac:dyDescent="0.25">
      <c r="A61" s="796">
        <v>23</v>
      </c>
      <c r="B61" s="36" t="s">
        <v>497</v>
      </c>
      <c r="C61" s="285">
        <v>1970</v>
      </c>
      <c r="D61" s="285">
        <v>1</v>
      </c>
      <c r="E61" s="285">
        <v>5</v>
      </c>
      <c r="F61" s="787">
        <v>259.72000000000003</v>
      </c>
      <c r="G61" s="823"/>
      <c r="H61" s="783"/>
      <c r="I61" s="783">
        <f t="shared" si="16"/>
        <v>0</v>
      </c>
      <c r="J61" s="782">
        <f t="shared" si="18"/>
        <v>0</v>
      </c>
      <c r="K61" s="782"/>
      <c r="L61" s="782"/>
      <c r="M61" s="782"/>
      <c r="N61" s="782"/>
      <c r="O61" s="14"/>
      <c r="P61" s="14"/>
      <c r="Q61" s="14"/>
      <c r="R61" s="14">
        <v>1679</v>
      </c>
      <c r="S61" s="14"/>
      <c r="T61" s="785">
        <f>SUM(K61:S61)</f>
        <v>1679</v>
      </c>
    </row>
    <row r="62" spans="1:20" x14ac:dyDescent="0.25">
      <c r="A62" s="797">
        <v>24</v>
      </c>
      <c r="B62" s="798" t="s">
        <v>498</v>
      </c>
      <c r="C62" s="793">
        <v>1973</v>
      </c>
      <c r="D62" s="793">
        <v>2</v>
      </c>
      <c r="E62" s="793">
        <v>16</v>
      </c>
      <c r="F62" s="787">
        <v>722.8</v>
      </c>
      <c r="G62" s="823">
        <f>30362.64/7*12</f>
        <v>52050.239999999991</v>
      </c>
      <c r="H62" s="783">
        <v>37987.410000000003</v>
      </c>
      <c r="I62" s="783">
        <f t="shared" si="16"/>
        <v>21595.17582000485</v>
      </c>
      <c r="J62" s="782">
        <f t="shared" si="18"/>
        <v>59582.585820004853</v>
      </c>
      <c r="K62" s="782"/>
      <c r="L62" s="782"/>
      <c r="M62" s="782"/>
      <c r="N62" s="782"/>
      <c r="O62" s="14">
        <v>260.74</v>
      </c>
      <c r="P62" s="14"/>
      <c r="Q62" s="14">
        <v>175</v>
      </c>
      <c r="R62" s="14">
        <v>866.8</v>
      </c>
      <c r="S62" s="14"/>
      <c r="T62" s="785">
        <f>SUM(K62:S62)</f>
        <v>1302.54</v>
      </c>
    </row>
    <row r="63" spans="1:20" x14ac:dyDescent="0.25">
      <c r="A63" s="797">
        <v>25</v>
      </c>
      <c r="B63" s="798" t="s">
        <v>499</v>
      </c>
      <c r="C63" s="793">
        <v>1973</v>
      </c>
      <c r="D63" s="793">
        <v>2</v>
      </c>
      <c r="E63" s="793">
        <v>16</v>
      </c>
      <c r="F63" s="787">
        <v>714.4</v>
      </c>
      <c r="G63" s="823">
        <f>30000.06/7*12</f>
        <v>51428.674285714296</v>
      </c>
      <c r="H63" s="783">
        <v>32370.48</v>
      </c>
      <c r="I63" s="783">
        <f t="shared" si="16"/>
        <v>19441.315618174311</v>
      </c>
      <c r="J63" s="782">
        <f t="shared" si="18"/>
        <v>51811.795618174307</v>
      </c>
      <c r="K63" s="782"/>
      <c r="L63" s="782"/>
      <c r="M63" s="782"/>
      <c r="N63" s="782"/>
      <c r="O63" s="14"/>
      <c r="P63" s="14"/>
      <c r="Q63" s="14"/>
      <c r="R63" s="14"/>
      <c r="S63" s="14">
        <v>2412.85</v>
      </c>
      <c r="T63" s="785">
        <f>SUM(K63:S63)</f>
        <v>2412.85</v>
      </c>
    </row>
    <row r="64" spans="1:20" x14ac:dyDescent="0.25">
      <c r="A64" s="797">
        <v>26</v>
      </c>
      <c r="B64" s="798" t="s">
        <v>500</v>
      </c>
      <c r="C64" s="793">
        <v>1961</v>
      </c>
      <c r="D64" s="793">
        <v>1</v>
      </c>
      <c r="E64" s="793">
        <v>4</v>
      </c>
      <c r="F64" s="787">
        <v>61.68</v>
      </c>
      <c r="G64" s="823"/>
      <c r="H64" s="783"/>
      <c r="I64" s="783">
        <f t="shared" si="16"/>
        <v>0</v>
      </c>
      <c r="J64" s="782">
        <f t="shared" si="18"/>
        <v>0</v>
      </c>
      <c r="K64" s="782"/>
      <c r="L64" s="782"/>
      <c r="M64" s="782"/>
      <c r="N64" s="782"/>
      <c r="O64" s="14"/>
      <c r="P64" s="14"/>
      <c r="Q64" s="14"/>
      <c r="R64" s="14"/>
      <c r="S64" s="14"/>
      <c r="T64" s="774"/>
    </row>
    <row r="65" spans="1:20" x14ac:dyDescent="0.25">
      <c r="A65" s="797">
        <v>27</v>
      </c>
      <c r="B65" s="798" t="s">
        <v>501</v>
      </c>
      <c r="C65" s="793">
        <v>1961</v>
      </c>
      <c r="D65" s="793">
        <v>1</v>
      </c>
      <c r="E65" s="793">
        <v>2</v>
      </c>
      <c r="F65" s="787">
        <v>40</v>
      </c>
      <c r="G65" s="823"/>
      <c r="H65" s="783"/>
      <c r="I65" s="783">
        <f t="shared" si="16"/>
        <v>0</v>
      </c>
      <c r="J65" s="782">
        <f t="shared" si="18"/>
        <v>0</v>
      </c>
      <c r="K65" s="782"/>
      <c r="L65" s="782"/>
      <c r="M65" s="782"/>
      <c r="N65" s="782"/>
      <c r="O65" s="14"/>
      <c r="P65" s="14"/>
      <c r="Q65" s="14"/>
      <c r="R65" s="14"/>
      <c r="S65" s="14"/>
      <c r="T65" s="774"/>
    </row>
    <row r="66" spans="1:20" x14ac:dyDescent="0.25">
      <c r="A66" s="797">
        <v>28</v>
      </c>
      <c r="B66" s="798" t="s">
        <v>502</v>
      </c>
      <c r="C66" s="793">
        <v>1969</v>
      </c>
      <c r="D66" s="793">
        <v>2</v>
      </c>
      <c r="E66" s="793">
        <v>16</v>
      </c>
      <c r="F66" s="787">
        <v>716.27</v>
      </c>
      <c r="G66" s="823">
        <f>30083.34/7*12</f>
        <v>51571.44</v>
      </c>
      <c r="H66" s="783">
        <v>33381.300000000003</v>
      </c>
      <c r="I66" s="783">
        <f t="shared" si="16"/>
        <v>18939.945258562191</v>
      </c>
      <c r="J66" s="782">
        <f t="shared" si="18"/>
        <v>52321.245258562194</v>
      </c>
      <c r="K66" s="782"/>
      <c r="L66" s="782"/>
      <c r="M66" s="782"/>
      <c r="N66" s="782"/>
      <c r="O66" s="14">
        <v>207.24</v>
      </c>
      <c r="P66" s="14"/>
      <c r="Q66" s="14">
        <v>60</v>
      </c>
      <c r="R66" s="14"/>
      <c r="S66" s="14"/>
      <c r="T66" s="785">
        <f>SUM(K66:S66)</f>
        <v>267.24</v>
      </c>
    </row>
    <row r="67" spans="1:20" x14ac:dyDescent="0.25">
      <c r="A67" s="797">
        <v>29</v>
      </c>
      <c r="B67" s="798" t="s">
        <v>503</v>
      </c>
      <c r="C67" s="793">
        <v>1964</v>
      </c>
      <c r="D67" s="793">
        <v>1</v>
      </c>
      <c r="E67" s="793">
        <v>2</v>
      </c>
      <c r="F67" s="787">
        <v>84.5</v>
      </c>
      <c r="G67" s="823"/>
      <c r="H67" s="783"/>
      <c r="I67" s="783">
        <f t="shared" si="16"/>
        <v>0</v>
      </c>
      <c r="J67" s="782">
        <f t="shared" si="18"/>
        <v>0</v>
      </c>
      <c r="K67" s="782"/>
      <c r="L67" s="782"/>
      <c r="M67" s="782"/>
      <c r="N67" s="782"/>
      <c r="O67" s="14"/>
      <c r="P67" s="14"/>
      <c r="Q67" s="14"/>
      <c r="R67" s="14"/>
      <c r="S67" s="14"/>
      <c r="T67" s="774"/>
    </row>
    <row r="68" spans="1:20" x14ac:dyDescent="0.25">
      <c r="A68" s="797">
        <v>30</v>
      </c>
      <c r="B68" s="798" t="s">
        <v>504</v>
      </c>
      <c r="C68" s="793">
        <v>1968</v>
      </c>
      <c r="D68" s="793">
        <v>2</v>
      </c>
      <c r="E68" s="793">
        <v>16</v>
      </c>
      <c r="F68" s="787">
        <v>714.5</v>
      </c>
      <c r="G68" s="823">
        <f>30009/7*12</f>
        <v>51444</v>
      </c>
      <c r="H68" s="783">
        <v>31943.49</v>
      </c>
      <c r="I68" s="783">
        <f t="shared" si="16"/>
        <v>17958.337136222617</v>
      </c>
      <c r="J68" s="782">
        <f t="shared" si="18"/>
        <v>49901.827136222622</v>
      </c>
      <c r="K68" s="782"/>
      <c r="L68" s="782"/>
      <c r="M68" s="782"/>
      <c r="N68" s="782"/>
      <c r="O68" s="14"/>
      <c r="P68" s="14"/>
      <c r="Q68" s="14"/>
      <c r="R68" s="14">
        <v>340</v>
      </c>
      <c r="S68" s="14">
        <v>2412.85</v>
      </c>
      <c r="T68" s="785">
        <f>SUM(K68:S68)</f>
        <v>2752.85</v>
      </c>
    </row>
    <row r="69" spans="1:20" x14ac:dyDescent="0.25">
      <c r="A69" s="797">
        <v>31</v>
      </c>
      <c r="B69" s="798" t="s">
        <v>505</v>
      </c>
      <c r="C69" s="793">
        <v>1981</v>
      </c>
      <c r="D69" s="793">
        <v>1</v>
      </c>
      <c r="E69" s="793">
        <v>2</v>
      </c>
      <c r="F69" s="787">
        <v>45.37</v>
      </c>
      <c r="G69" s="823"/>
      <c r="H69" s="783"/>
      <c r="I69" s="783">
        <f t="shared" si="16"/>
        <v>0</v>
      </c>
      <c r="J69" s="782">
        <f t="shared" si="18"/>
        <v>0</v>
      </c>
      <c r="K69" s="782"/>
      <c r="L69" s="782"/>
      <c r="M69" s="782"/>
      <c r="N69" s="782"/>
      <c r="O69" s="14"/>
      <c r="P69" s="14"/>
      <c r="Q69" s="14"/>
      <c r="R69" s="14"/>
      <c r="S69" s="14"/>
      <c r="T69" s="774"/>
    </row>
    <row r="70" spans="1:20" x14ac:dyDescent="0.25">
      <c r="A70" s="797">
        <v>32</v>
      </c>
      <c r="B70" s="798" t="s">
        <v>506</v>
      </c>
      <c r="C70" s="793">
        <v>1970</v>
      </c>
      <c r="D70" s="793">
        <v>2</v>
      </c>
      <c r="E70" s="793">
        <v>16</v>
      </c>
      <c r="F70" s="787">
        <v>714.01</v>
      </c>
      <c r="G70" s="823">
        <f>30030.42/7*12</f>
        <v>51480.719999999994</v>
      </c>
      <c r="H70" s="783">
        <v>38866.6</v>
      </c>
      <c r="I70" s="783">
        <f t="shared" si="16"/>
        <v>20923.33455668544</v>
      </c>
      <c r="J70" s="782">
        <f t="shared" si="18"/>
        <v>59789.934556685439</v>
      </c>
      <c r="K70" s="782"/>
      <c r="L70" s="782"/>
      <c r="M70" s="782"/>
      <c r="N70" s="782"/>
      <c r="O70" s="14"/>
      <c r="P70" s="14"/>
      <c r="Q70" s="14"/>
      <c r="R70" s="14"/>
      <c r="S70" s="14"/>
      <c r="T70" s="774"/>
    </row>
    <row r="71" spans="1:20" x14ac:dyDescent="0.25">
      <c r="A71" s="797">
        <v>33</v>
      </c>
      <c r="B71" s="798" t="s">
        <v>78</v>
      </c>
      <c r="C71" s="793">
        <v>1962</v>
      </c>
      <c r="D71" s="793">
        <v>1</v>
      </c>
      <c r="E71" s="793">
        <v>2</v>
      </c>
      <c r="F71" s="787">
        <v>77.209999999999994</v>
      </c>
      <c r="G71" s="823"/>
      <c r="H71" s="783"/>
      <c r="I71" s="783">
        <f t="shared" si="16"/>
        <v>0</v>
      </c>
      <c r="J71" s="782">
        <f t="shared" si="18"/>
        <v>0</v>
      </c>
      <c r="K71" s="782"/>
      <c r="L71" s="782"/>
      <c r="M71" s="782"/>
      <c r="N71" s="782"/>
      <c r="O71" s="14"/>
      <c r="P71" s="14"/>
      <c r="Q71" s="14"/>
      <c r="R71" s="14"/>
      <c r="S71" s="14"/>
      <c r="T71" s="774"/>
    </row>
    <row r="72" spans="1:20" x14ac:dyDescent="0.25">
      <c r="A72" s="792">
        <v>34</v>
      </c>
      <c r="B72" s="798" t="s">
        <v>507</v>
      </c>
      <c r="C72" s="793">
        <v>1990</v>
      </c>
      <c r="D72" s="793">
        <v>3</v>
      </c>
      <c r="E72" s="793">
        <v>24</v>
      </c>
      <c r="F72" s="787">
        <v>1444.1</v>
      </c>
      <c r="G72" s="823">
        <f>60572.4/7*12</f>
        <v>103838.40000000001</v>
      </c>
      <c r="H72" s="783">
        <v>72860.5</v>
      </c>
      <c r="I72" s="783">
        <f t="shared" si="16"/>
        <v>42309.806151829194</v>
      </c>
      <c r="J72" s="782">
        <f t="shared" si="18"/>
        <v>115170.30615182919</v>
      </c>
      <c r="K72" s="782"/>
      <c r="L72" s="782"/>
      <c r="M72" s="782"/>
      <c r="N72" s="782"/>
      <c r="O72" s="14">
        <v>1334.4</v>
      </c>
      <c r="P72" s="14"/>
      <c r="Q72" s="14"/>
      <c r="R72" s="14">
        <v>4210.87</v>
      </c>
      <c r="S72" s="14"/>
      <c r="T72" s="785">
        <f>SUM(K72:S72)</f>
        <v>5545.27</v>
      </c>
    </row>
    <row r="73" spans="1:20" x14ac:dyDescent="0.25">
      <c r="A73" s="799">
        <v>35</v>
      </c>
      <c r="B73" s="800" t="s">
        <v>508</v>
      </c>
      <c r="C73" s="801">
        <v>1980</v>
      </c>
      <c r="D73" s="801">
        <v>1</v>
      </c>
      <c r="E73" s="801">
        <v>1</v>
      </c>
      <c r="F73" s="802">
        <v>36</v>
      </c>
      <c r="G73" s="826"/>
      <c r="H73" s="803"/>
      <c r="I73" s="783">
        <f t="shared" si="16"/>
        <v>0</v>
      </c>
      <c r="J73" s="782">
        <f t="shared" si="18"/>
        <v>0</v>
      </c>
      <c r="K73" s="804"/>
      <c r="L73" s="804"/>
      <c r="M73" s="804"/>
      <c r="N73" s="782"/>
      <c r="O73" s="14"/>
      <c r="P73" s="14"/>
      <c r="Q73" s="14"/>
      <c r="R73" s="14"/>
      <c r="S73" s="14"/>
      <c r="T73" s="774"/>
    </row>
    <row r="74" spans="1:20" x14ac:dyDescent="0.25">
      <c r="A74" s="792"/>
      <c r="B74" s="805" t="s">
        <v>12</v>
      </c>
      <c r="C74" s="793"/>
      <c r="D74" s="793"/>
      <c r="E74" s="806">
        <f>SUM(E43:E73)</f>
        <v>292</v>
      </c>
      <c r="F74" s="807">
        <f>SUM(F43:F73)</f>
        <v>15078.35</v>
      </c>
      <c r="G74" s="827">
        <f>SUM(G44:G73)</f>
        <v>996256.18285714288</v>
      </c>
      <c r="H74" s="810">
        <f>SUM(H44:H73)</f>
        <v>659271.05000000005</v>
      </c>
      <c r="I74" s="783">
        <f t="shared" si="16"/>
        <v>382276.64343540743</v>
      </c>
      <c r="J74" s="782">
        <f t="shared" si="18"/>
        <v>1041547.6934354075</v>
      </c>
      <c r="K74" s="828">
        <f t="shared" ref="K74:S74" si="19">SUM(K52:K73)</f>
        <v>47520</v>
      </c>
      <c r="L74" s="828">
        <f t="shared" si="19"/>
        <v>156429.21</v>
      </c>
      <c r="M74" s="828">
        <f t="shared" si="19"/>
        <v>45500</v>
      </c>
      <c r="N74" s="828">
        <f t="shared" si="19"/>
        <v>21120</v>
      </c>
      <c r="O74" s="14">
        <f t="shared" si="19"/>
        <v>24780.280000000006</v>
      </c>
      <c r="P74" s="14">
        <f t="shared" si="19"/>
        <v>299</v>
      </c>
      <c r="Q74" s="14">
        <f t="shared" si="19"/>
        <v>2430</v>
      </c>
      <c r="R74" s="14">
        <f t="shared" si="19"/>
        <v>7096.67</v>
      </c>
      <c r="S74" s="14">
        <f t="shared" si="19"/>
        <v>6368.5599999999995</v>
      </c>
      <c r="T74" s="785">
        <f>SUM(K74:S74)</f>
        <v>311543.71999999997</v>
      </c>
    </row>
    <row r="75" spans="1:20" x14ac:dyDescent="0.25">
      <c r="G75" s="775"/>
      <c r="J75" s="144"/>
      <c r="T75" s="775"/>
    </row>
    <row r="76" spans="1:20" x14ac:dyDescent="0.25">
      <c r="J76" s="144"/>
    </row>
  </sheetData>
  <mergeCells count="37">
    <mergeCell ref="G42:G43"/>
    <mergeCell ref="J42:J43"/>
    <mergeCell ref="K42:N42"/>
    <mergeCell ref="AK5:AK6"/>
    <mergeCell ref="AL5:AL6"/>
    <mergeCell ref="AA5:AA6"/>
    <mergeCell ref="AB5:AB6"/>
    <mergeCell ref="AC5:AC6"/>
    <mergeCell ref="AD5:AD6"/>
    <mergeCell ref="G5:M5"/>
    <mergeCell ref="O5:P5"/>
    <mergeCell ref="Q5:R5"/>
    <mergeCell ref="S5:T5"/>
    <mergeCell ref="U5:V5"/>
    <mergeCell ref="W5:X5"/>
    <mergeCell ref="AM5:AM6"/>
    <mergeCell ref="AN5:AN6"/>
    <mergeCell ref="A42:A43"/>
    <mergeCell ref="B42:B43"/>
    <mergeCell ref="C42:C43"/>
    <mergeCell ref="D42:D43"/>
    <mergeCell ref="E42:E43"/>
    <mergeCell ref="F42:F43"/>
    <mergeCell ref="AE5:AE6"/>
    <mergeCell ref="AF5:AF6"/>
    <mergeCell ref="AG5:AG6"/>
    <mergeCell ref="AH5:AH6"/>
    <mergeCell ref="AI5:AI6"/>
    <mergeCell ref="AJ5:AJ6"/>
    <mergeCell ref="Y5:Y6"/>
    <mergeCell ref="Z5:Z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"/>
  <sheetViews>
    <sheetView tabSelected="1" workbookViewId="0">
      <selection activeCell="Y28" sqref="Y28"/>
    </sheetView>
  </sheetViews>
  <sheetFormatPr defaultRowHeight="15" x14ac:dyDescent="0.25"/>
  <cols>
    <col min="1" max="1" width="15.42578125" customWidth="1"/>
    <col min="5" max="5" width="13.28515625" customWidth="1"/>
    <col min="6" max="6" width="13.7109375" customWidth="1"/>
    <col min="7" max="7" width="10.85546875" customWidth="1"/>
    <col min="8" max="8" width="11.140625" customWidth="1"/>
    <col min="9" max="9" width="11.28515625" customWidth="1"/>
    <col min="10" max="10" width="14.140625" customWidth="1"/>
    <col min="11" max="11" width="15.42578125" customWidth="1"/>
  </cols>
  <sheetData>
    <row r="2" spans="1:22" x14ac:dyDescent="0.25">
      <c r="A2" t="s">
        <v>452</v>
      </c>
    </row>
    <row r="3" spans="1:22" x14ac:dyDescent="0.25">
      <c r="A3" s="911" t="s">
        <v>130</v>
      </c>
      <c r="B3" s="1038" t="s">
        <v>521</v>
      </c>
      <c r="C3" s="856" t="s">
        <v>522</v>
      </c>
      <c r="D3" s="856" t="s">
        <v>522</v>
      </c>
      <c r="E3" s="1029" t="s">
        <v>452</v>
      </c>
      <c r="F3" s="1029"/>
      <c r="G3" s="1026" t="s">
        <v>523</v>
      </c>
      <c r="H3" s="1026"/>
      <c r="I3" s="1029" t="s">
        <v>77</v>
      </c>
      <c r="J3" s="1029"/>
      <c r="K3" s="1026" t="s">
        <v>524</v>
      </c>
    </row>
    <row r="4" spans="1:22" ht="30" x14ac:dyDescent="0.25">
      <c r="A4" s="912"/>
      <c r="B4" s="1039"/>
      <c r="C4" s="857" t="s">
        <v>525</v>
      </c>
      <c r="D4" s="857" t="s">
        <v>526</v>
      </c>
      <c r="E4" s="14" t="s">
        <v>478</v>
      </c>
      <c r="F4" s="14" t="s">
        <v>475</v>
      </c>
      <c r="G4" s="14" t="s">
        <v>478</v>
      </c>
      <c r="H4" s="14" t="s">
        <v>475</v>
      </c>
      <c r="I4" s="14" t="s">
        <v>478</v>
      </c>
      <c r="J4" s="14" t="s">
        <v>475</v>
      </c>
      <c r="K4" s="1026"/>
      <c r="L4" s="794" t="s">
        <v>460</v>
      </c>
      <c r="M4" s="794" t="s">
        <v>527</v>
      </c>
      <c r="N4" s="794" t="s">
        <v>528</v>
      </c>
      <c r="O4" s="794" t="s">
        <v>458</v>
      </c>
      <c r="P4" s="794" t="s">
        <v>465</v>
      </c>
      <c r="Q4" s="794" t="s">
        <v>467</v>
      </c>
      <c r="R4" s="794" t="s">
        <v>466</v>
      </c>
      <c r="S4" s="514" t="s">
        <v>529</v>
      </c>
      <c r="T4" s="830" t="s">
        <v>530</v>
      </c>
      <c r="U4" s="794" t="s">
        <v>531</v>
      </c>
      <c r="V4" s="14" t="s">
        <v>241</v>
      </c>
    </row>
    <row r="5" spans="1:22" x14ac:dyDescent="0.25">
      <c r="A5" s="14" t="s">
        <v>532</v>
      </c>
      <c r="B5" s="831">
        <v>6183.4</v>
      </c>
      <c r="C5" s="831">
        <v>13.11</v>
      </c>
      <c r="D5" s="831">
        <v>13.9</v>
      </c>
      <c r="E5" s="38">
        <f>13.11*B5*6+13.9*4*B5+171898.5+1.08</f>
        <v>1002082.8639999999</v>
      </c>
      <c r="F5" s="38">
        <f>E5*G35+193617.96</f>
        <v>1186548.2224698125</v>
      </c>
      <c r="G5" s="38">
        <v>8247.48</v>
      </c>
      <c r="H5" s="38">
        <v>8683.92</v>
      </c>
      <c r="I5" s="832">
        <f>E5+G5</f>
        <v>1010330.3439999999</v>
      </c>
      <c r="J5" s="832">
        <f>I5*G35</f>
        <v>1001102.4134718024</v>
      </c>
      <c r="K5" s="832">
        <f>L5+M5+N5+O5+P5+Q5+R5+S5+U5+T5+V5</f>
        <v>1115955.4200000002</v>
      </c>
      <c r="L5" s="14">
        <v>530731.84</v>
      </c>
      <c r="M5" s="14">
        <v>47371.44</v>
      </c>
      <c r="N5" s="14">
        <v>24965.49</v>
      </c>
      <c r="O5" s="14">
        <v>3319.26</v>
      </c>
      <c r="P5" s="14">
        <v>5363.74</v>
      </c>
      <c r="Q5" s="14">
        <v>24840.99</v>
      </c>
      <c r="R5" s="14">
        <v>231792.27</v>
      </c>
      <c r="S5" s="14">
        <v>1572.03</v>
      </c>
      <c r="T5" s="14">
        <v>21000</v>
      </c>
      <c r="U5" s="14">
        <f>161901.6+395.78+28200.98</f>
        <v>190498.36000000002</v>
      </c>
      <c r="V5" s="14">
        <v>34500</v>
      </c>
    </row>
    <row r="6" spans="1:22" x14ac:dyDescent="0.25">
      <c r="A6" s="14" t="s">
        <v>533</v>
      </c>
      <c r="B6" s="831"/>
      <c r="C6" s="831"/>
      <c r="D6" s="831"/>
      <c r="E6" s="38"/>
      <c r="F6" s="38"/>
      <c r="G6" s="38"/>
      <c r="H6" s="38"/>
      <c r="I6" s="832"/>
      <c r="J6" s="832">
        <f t="shared" ref="J6:J9" si="0">I6*G36</f>
        <v>0</v>
      </c>
      <c r="K6" s="832">
        <f t="shared" ref="K6:K10" si="1">L6+M6+N6+O6+P6+Q6+R6+S6+U6+T6+V6</f>
        <v>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x14ac:dyDescent="0.25">
      <c r="A7" s="833" t="s">
        <v>534</v>
      </c>
      <c r="B7" s="834">
        <v>2701</v>
      </c>
      <c r="C7" s="834">
        <v>13.11</v>
      </c>
      <c r="D7" s="834">
        <v>13.67</v>
      </c>
      <c r="E7" s="38">
        <f>13.11*B7*7+13.67*2*B7-41+73839.94</f>
        <v>395515.05</v>
      </c>
      <c r="F7" s="38">
        <f>E7*G37</f>
        <v>318286.87182300811</v>
      </c>
      <c r="G7" s="38">
        <v>13563.93</v>
      </c>
      <c r="H7" s="38">
        <v>10996.04</v>
      </c>
      <c r="I7" s="832">
        <f t="shared" ref="I7:I10" si="2">E7+G7</f>
        <v>409078.98</v>
      </c>
      <c r="J7" s="832">
        <f t="shared" si="0"/>
        <v>329202.31195436657</v>
      </c>
      <c r="K7" s="832">
        <f t="shared" si="1"/>
        <v>504284.49000000005</v>
      </c>
      <c r="L7" s="14">
        <v>231831.47</v>
      </c>
      <c r="M7" s="14">
        <v>19718.169999999998</v>
      </c>
      <c r="N7" s="14">
        <v>15503.07</v>
      </c>
      <c r="O7" s="14">
        <v>1449.89</v>
      </c>
      <c r="P7" s="14">
        <v>16120.82</v>
      </c>
      <c r="Q7" s="14">
        <v>10850.91</v>
      </c>
      <c r="R7" s="14">
        <v>101250.27</v>
      </c>
      <c r="S7" s="14">
        <v>686.68</v>
      </c>
      <c r="T7" s="14"/>
      <c r="U7" s="14">
        <f>88675.32+197.89</f>
        <v>88873.21</v>
      </c>
      <c r="V7" s="14">
        <v>18000</v>
      </c>
    </row>
    <row r="8" spans="1:22" x14ac:dyDescent="0.25">
      <c r="A8" s="833" t="s">
        <v>535</v>
      </c>
      <c r="B8" s="835">
        <v>609.6</v>
      </c>
      <c r="C8" s="834">
        <v>13.11</v>
      </c>
      <c r="D8" s="835">
        <v>13.52</v>
      </c>
      <c r="E8" s="38">
        <f>13.11*B8*7+13.52*B8*2+16483.6</f>
        <v>88910.176000000007</v>
      </c>
      <c r="F8" s="38">
        <f>E8*G38</f>
        <v>75224.546022593146</v>
      </c>
      <c r="G8" s="38">
        <v>3810.44</v>
      </c>
      <c r="H8" s="38">
        <v>3226.1</v>
      </c>
      <c r="I8" s="832">
        <f t="shared" si="2"/>
        <v>92720.616000000009</v>
      </c>
      <c r="J8" s="832">
        <f t="shared" si="0"/>
        <v>78448.458425447127</v>
      </c>
      <c r="K8" s="832">
        <f t="shared" si="1"/>
        <v>120663.62000000001</v>
      </c>
      <c r="L8" s="14">
        <v>52323.03</v>
      </c>
      <c r="M8" s="14">
        <v>4473.72</v>
      </c>
      <c r="N8" s="14">
        <v>722.23</v>
      </c>
      <c r="O8" s="14">
        <v>327.23</v>
      </c>
      <c r="P8" s="14">
        <v>5122.45</v>
      </c>
      <c r="Q8" s="14">
        <v>2449</v>
      </c>
      <c r="R8" s="14">
        <v>22851.599999999999</v>
      </c>
      <c r="S8" s="14">
        <v>154.97999999999999</v>
      </c>
      <c r="T8" s="14"/>
      <c r="U8" s="14">
        <f>29179.38+60</f>
        <v>29239.38</v>
      </c>
      <c r="V8" s="14">
        <v>3000</v>
      </c>
    </row>
    <row r="9" spans="1:22" x14ac:dyDescent="0.25">
      <c r="A9" s="833" t="s">
        <v>536</v>
      </c>
      <c r="B9" s="835">
        <v>2698.5</v>
      </c>
      <c r="C9" s="834">
        <v>13.11</v>
      </c>
      <c r="D9" s="835">
        <v>13.67</v>
      </c>
      <c r="E9" s="38">
        <f>13.11*B9*7+13.67*B9*2+41+73782.42</f>
        <v>395241.755</v>
      </c>
      <c r="F9" s="38">
        <f>E9*G39</f>
        <v>300865.33247637952</v>
      </c>
      <c r="G9" s="38">
        <v>13563.53</v>
      </c>
      <c r="H9" s="38">
        <v>10345</v>
      </c>
      <c r="I9" s="832">
        <f t="shared" si="2"/>
        <v>408805.28500000003</v>
      </c>
      <c r="J9" s="832">
        <f t="shared" si="0"/>
        <v>311190.14232093497</v>
      </c>
      <c r="K9" s="832">
        <f t="shared" si="1"/>
        <v>479282.56000000006</v>
      </c>
      <c r="L9" s="14">
        <v>231616.88</v>
      </c>
      <c r="M9" s="14">
        <v>19778.02</v>
      </c>
      <c r="N9" s="14">
        <v>9735.84</v>
      </c>
      <c r="O9" s="14">
        <v>1448.55</v>
      </c>
      <c r="P9" s="14">
        <v>3126.34</v>
      </c>
      <c r="Q9" s="14">
        <v>10840.83</v>
      </c>
      <c r="R9" s="14">
        <v>101156.57</v>
      </c>
      <c r="S9" s="14">
        <v>686.07</v>
      </c>
      <c r="T9" s="14"/>
      <c r="U9" s="14">
        <f>82743.46+150</f>
        <v>82893.460000000006</v>
      </c>
      <c r="V9" s="14">
        <v>18000</v>
      </c>
    </row>
    <row r="10" spans="1:22" x14ac:dyDescent="0.25">
      <c r="A10" s="14" t="s">
        <v>77</v>
      </c>
      <c r="B10" s="836">
        <f>SUM(B7:B9)</f>
        <v>6009.1</v>
      </c>
      <c r="C10" s="836"/>
      <c r="D10" s="836"/>
      <c r="E10" s="837">
        <f>SUM(E5:E9)</f>
        <v>1881749.8449999997</v>
      </c>
      <c r="F10" s="837">
        <f>SUM(F5:F9)</f>
        <v>1880924.9727917933</v>
      </c>
      <c r="G10" s="837">
        <f>SUM(G5:G9)</f>
        <v>39185.379999999997</v>
      </c>
      <c r="H10" s="837">
        <f>SUM(H5:H9)</f>
        <v>33251.06</v>
      </c>
      <c r="I10" s="832">
        <f t="shared" si="2"/>
        <v>1920935.2249999996</v>
      </c>
      <c r="J10" s="832">
        <f>SUM(J5:J9)</f>
        <v>1719943.3261725509</v>
      </c>
      <c r="K10" s="832">
        <f t="shared" si="1"/>
        <v>2146686.0900000003</v>
      </c>
      <c r="L10" s="14">
        <f t="shared" ref="L10:S10" si="3">SUM(L5:L9)</f>
        <v>1046503.22</v>
      </c>
      <c r="M10" s="14">
        <f t="shared" si="3"/>
        <v>91341.35</v>
      </c>
      <c r="N10" s="14">
        <f t="shared" si="3"/>
        <v>50926.630000000005</v>
      </c>
      <c r="O10" s="14">
        <f t="shared" si="3"/>
        <v>6544.9300000000012</v>
      </c>
      <c r="P10" s="14">
        <f t="shared" si="3"/>
        <v>29733.35</v>
      </c>
      <c r="Q10" s="14">
        <f t="shared" si="3"/>
        <v>48981.73</v>
      </c>
      <c r="R10" s="14">
        <f t="shared" si="3"/>
        <v>457050.70999999996</v>
      </c>
      <c r="S10" s="14">
        <f t="shared" si="3"/>
        <v>3099.76</v>
      </c>
      <c r="T10" s="14">
        <v>21000</v>
      </c>
      <c r="U10" s="14">
        <f>SUM(U5:U9)</f>
        <v>391504.41000000003</v>
      </c>
      <c r="V10" s="14"/>
    </row>
    <row r="11" spans="1:22" x14ac:dyDescent="0.25">
      <c r="B11" s="40">
        <f>B5+B10</f>
        <v>12192.5</v>
      </c>
      <c r="C11" s="40"/>
      <c r="D11" s="40"/>
      <c r="H11" s="838"/>
    </row>
    <row r="13" spans="1:22" x14ac:dyDescent="0.25">
      <c r="B13" t="s">
        <v>537</v>
      </c>
      <c r="E13">
        <v>2018</v>
      </c>
    </row>
    <row r="14" spans="1:22" x14ac:dyDescent="0.25">
      <c r="A14" s="911" t="s">
        <v>130</v>
      </c>
      <c r="B14" s="1038" t="s">
        <v>521</v>
      </c>
      <c r="C14" s="856"/>
      <c r="D14" s="856"/>
      <c r="E14" s="1029" t="s">
        <v>538</v>
      </c>
      <c r="F14" s="1029"/>
      <c r="G14" s="14"/>
    </row>
    <row r="15" spans="1:22" x14ac:dyDescent="0.25">
      <c r="A15" s="912"/>
      <c r="B15" s="1039"/>
      <c r="C15" s="857"/>
      <c r="D15" s="857"/>
      <c r="E15" s="14" t="s">
        <v>478</v>
      </c>
      <c r="F15" s="14" t="s">
        <v>475</v>
      </c>
      <c r="G15" s="839" t="s">
        <v>539</v>
      </c>
      <c r="H15" s="840" t="s">
        <v>540</v>
      </c>
      <c r="I15" s="14" t="s">
        <v>541</v>
      </c>
      <c r="J15" s="14" t="s">
        <v>542</v>
      </c>
      <c r="K15" s="794" t="s">
        <v>514</v>
      </c>
    </row>
    <row r="16" spans="1:22" x14ac:dyDescent="0.25">
      <c r="A16" s="14" t="s">
        <v>532</v>
      </c>
      <c r="B16" s="831">
        <v>6183.4</v>
      </c>
      <c r="C16" s="831">
        <v>5.69</v>
      </c>
      <c r="D16" s="836">
        <v>2</v>
      </c>
      <c r="E16" s="785">
        <f>5.69*B16*6+2*B16*4+24733.6</f>
        <v>285302.076</v>
      </c>
      <c r="F16" s="785">
        <f>E16*G35</f>
        <v>282696.24736928183</v>
      </c>
      <c r="G16" s="839">
        <f>H16+I16+J16</f>
        <v>292140.55</v>
      </c>
      <c r="H16" s="840">
        <v>9306.5499999999993</v>
      </c>
      <c r="I16" s="14">
        <v>12320</v>
      </c>
      <c r="J16" s="14">
        <v>270514</v>
      </c>
      <c r="K16" s="14"/>
    </row>
    <row r="17" spans="1:11" x14ac:dyDescent="0.25">
      <c r="A17" s="14" t="s">
        <v>533</v>
      </c>
      <c r="B17" s="831"/>
      <c r="C17" s="831"/>
      <c r="D17" s="836"/>
      <c r="E17" s="785"/>
      <c r="F17" s="785">
        <f t="shared" ref="F17:F20" si="4">E17*G36</f>
        <v>0</v>
      </c>
      <c r="G17" s="839">
        <f t="shared" ref="G17:G20" si="5">H17+I17+J17</f>
        <v>0</v>
      </c>
      <c r="H17" s="840"/>
      <c r="I17" s="14"/>
      <c r="J17" s="14"/>
      <c r="K17" s="14"/>
    </row>
    <row r="18" spans="1:11" x14ac:dyDescent="0.25">
      <c r="A18" s="833" t="s">
        <v>534</v>
      </c>
      <c r="B18" s="834">
        <v>2701</v>
      </c>
      <c r="C18" s="834">
        <v>5</v>
      </c>
      <c r="D18" s="834">
        <v>5</v>
      </c>
      <c r="E18" s="785">
        <f>5*B18*9+27008</f>
        <v>148553</v>
      </c>
      <c r="F18" s="785">
        <f t="shared" si="4"/>
        <v>119546.57520598351</v>
      </c>
      <c r="G18" s="839">
        <f t="shared" si="5"/>
        <v>3300</v>
      </c>
      <c r="H18" s="840"/>
      <c r="I18" s="14">
        <v>3300</v>
      </c>
      <c r="J18" s="14"/>
      <c r="K18" s="14"/>
    </row>
    <row r="19" spans="1:11" x14ac:dyDescent="0.25">
      <c r="A19" s="833" t="s">
        <v>535</v>
      </c>
      <c r="B19" s="835">
        <v>609.6</v>
      </c>
      <c r="C19" s="834">
        <v>5</v>
      </c>
      <c r="D19" s="841">
        <v>5</v>
      </c>
      <c r="E19" s="785">
        <f>5*B19*9+6096</f>
        <v>33528</v>
      </c>
      <c r="F19" s="785">
        <f t="shared" si="4"/>
        <v>28367.153148425925</v>
      </c>
      <c r="G19" s="839">
        <f t="shared" si="5"/>
        <v>1760</v>
      </c>
      <c r="H19" s="840"/>
      <c r="I19" s="14">
        <v>1760</v>
      </c>
      <c r="J19" s="14"/>
      <c r="K19" s="14"/>
    </row>
    <row r="20" spans="1:11" x14ac:dyDescent="0.25">
      <c r="A20" s="833" t="s">
        <v>536</v>
      </c>
      <c r="B20" s="835">
        <v>2698.5</v>
      </c>
      <c r="C20" s="834">
        <v>5</v>
      </c>
      <c r="D20" s="841">
        <v>5</v>
      </c>
      <c r="E20" s="785">
        <f>5*B20*9+26987</f>
        <v>148419.5</v>
      </c>
      <c r="F20" s="785">
        <f t="shared" si="4"/>
        <v>112979.66788321243</v>
      </c>
      <c r="G20" s="839">
        <f t="shared" si="5"/>
        <v>4840</v>
      </c>
      <c r="H20" s="840"/>
      <c r="I20" s="14">
        <v>4840</v>
      </c>
      <c r="J20" s="14"/>
      <c r="K20" s="14">
        <v>185000</v>
      </c>
    </row>
    <row r="21" spans="1:11" x14ac:dyDescent="0.25">
      <c r="A21" s="14" t="s">
        <v>77</v>
      </c>
      <c r="B21" s="836">
        <f>SUM(B18:B20)</f>
        <v>6009.1</v>
      </c>
      <c r="C21" s="836"/>
      <c r="D21" s="836"/>
      <c r="E21" s="832">
        <f t="shared" ref="E21:J21" si="6">SUM(E16:E20)</f>
        <v>615802.576</v>
      </c>
      <c r="F21" s="832">
        <f t="shared" si="6"/>
        <v>543589.64360690361</v>
      </c>
      <c r="G21" s="839">
        <f t="shared" si="6"/>
        <v>302040.55</v>
      </c>
      <c r="H21" s="840">
        <f t="shared" si="6"/>
        <v>9306.5499999999993</v>
      </c>
      <c r="I21" s="14">
        <f t="shared" si="6"/>
        <v>22220</v>
      </c>
      <c r="J21" s="14">
        <f t="shared" si="6"/>
        <v>270514</v>
      </c>
      <c r="K21" s="14"/>
    </row>
    <row r="24" spans="1:11" x14ac:dyDescent="0.25">
      <c r="A24" t="s">
        <v>543</v>
      </c>
      <c r="C24" s="59" t="s">
        <v>544</v>
      </c>
    </row>
    <row r="25" spans="1:11" x14ac:dyDescent="0.25">
      <c r="A25" s="911" t="s">
        <v>130</v>
      </c>
      <c r="B25" s="1038" t="s">
        <v>521</v>
      </c>
      <c r="C25" s="856"/>
      <c r="D25" s="856"/>
      <c r="E25" s="1029" t="s">
        <v>545</v>
      </c>
      <c r="F25" s="1029"/>
      <c r="G25" s="842"/>
      <c r="H25" s="153"/>
      <c r="I25" s="9"/>
      <c r="K25" s="9"/>
    </row>
    <row r="26" spans="1:11" x14ac:dyDescent="0.25">
      <c r="A26" s="912"/>
      <c r="B26" s="1039"/>
      <c r="C26" s="857"/>
      <c r="D26" s="857"/>
      <c r="E26" s="14" t="s">
        <v>478</v>
      </c>
      <c r="F26" s="14" t="s">
        <v>475</v>
      </c>
      <c r="G26" s="843" t="s">
        <v>539</v>
      </c>
      <c r="H26" s="794" t="s">
        <v>546</v>
      </c>
      <c r="I26" s="9"/>
      <c r="K26" s="9"/>
    </row>
    <row r="27" spans="1:11" x14ac:dyDescent="0.25">
      <c r="A27" s="14" t="s">
        <v>532</v>
      </c>
      <c r="B27" s="831">
        <v>6183.4</v>
      </c>
      <c r="C27" s="831">
        <v>4.7</v>
      </c>
      <c r="D27" s="831">
        <v>5.85</v>
      </c>
      <c r="E27" s="785">
        <f>4.7*B27*6+5.85*B27*4+72346.26</f>
        <v>391409.69999999995</v>
      </c>
      <c r="F27" s="785">
        <f>E27*G35</f>
        <v>387834.7291589157</v>
      </c>
      <c r="G27" s="839">
        <f>150244.24+23496.92</f>
        <v>173741.15999999997</v>
      </c>
      <c r="H27" s="14">
        <f>150244.24+23496.92</f>
        <v>173741.15999999997</v>
      </c>
      <c r="I27" s="9"/>
      <c r="K27" s="9"/>
    </row>
    <row r="28" spans="1:11" x14ac:dyDescent="0.25">
      <c r="A28" s="14" t="s">
        <v>533</v>
      </c>
      <c r="B28" s="831"/>
      <c r="C28" s="831"/>
      <c r="D28" s="831"/>
      <c r="E28" s="785"/>
      <c r="F28" s="785">
        <f t="shared" ref="F28:F31" si="7">E28*G36</f>
        <v>0</v>
      </c>
      <c r="G28" s="839"/>
      <c r="H28" s="14"/>
      <c r="I28" s="9"/>
      <c r="K28" s="9"/>
    </row>
    <row r="29" spans="1:11" x14ac:dyDescent="0.25">
      <c r="A29" s="833" t="s">
        <v>534</v>
      </c>
      <c r="B29" s="834">
        <v>2701</v>
      </c>
      <c r="C29" s="834">
        <v>4.7</v>
      </c>
      <c r="D29" s="834">
        <v>5.37</v>
      </c>
      <c r="E29" s="785">
        <f>4.7*B29*7+5.37*B29*2+29006.68</f>
        <v>146878.32</v>
      </c>
      <c r="F29" s="785">
        <f t="shared" si="7"/>
        <v>118198.8928396499</v>
      </c>
      <c r="G29" s="839">
        <f>78214.49+53480.89</f>
        <v>131695.38</v>
      </c>
      <c r="H29" s="14">
        <f>78214.49+53480.89</f>
        <v>131695.38</v>
      </c>
      <c r="I29" s="9"/>
      <c r="K29" s="9"/>
    </row>
    <row r="30" spans="1:11" x14ac:dyDescent="0.25">
      <c r="A30" s="833" t="s">
        <v>535</v>
      </c>
      <c r="B30" s="835">
        <v>609.6</v>
      </c>
      <c r="C30" s="834">
        <v>4.7</v>
      </c>
      <c r="D30" s="835">
        <v>5.37</v>
      </c>
      <c r="E30" s="785">
        <f>4.7*B30*7+5.37*B30*2+6547.14</f>
        <v>33150.084000000003</v>
      </c>
      <c r="F30" s="785">
        <f t="shared" si="7"/>
        <v>28047.408426126935</v>
      </c>
      <c r="G30" s="839">
        <f>17652.54+12070.35</f>
        <v>29722.89</v>
      </c>
      <c r="H30" s="14">
        <f>17652.54+12070.35</f>
        <v>29722.89</v>
      </c>
      <c r="I30" s="9"/>
      <c r="K30" s="9"/>
    </row>
    <row r="31" spans="1:11" x14ac:dyDescent="0.25">
      <c r="A31" s="833" t="s">
        <v>536</v>
      </c>
      <c r="B31" s="835">
        <v>2698.5</v>
      </c>
      <c r="C31" s="834">
        <v>4.7</v>
      </c>
      <c r="D31" s="835">
        <v>5.37</v>
      </c>
      <c r="E31" s="785">
        <f>4.7*B31*7+5.37*B31*2+28984</f>
        <v>146746.54</v>
      </c>
      <c r="F31" s="785">
        <f t="shared" si="7"/>
        <v>111706.17979585263</v>
      </c>
      <c r="G31" s="839">
        <f>78143.03+53431.38</f>
        <v>131574.41</v>
      </c>
      <c r="H31" s="14">
        <f>78143.03+53431.38</f>
        <v>131574.41</v>
      </c>
      <c r="I31" s="9"/>
      <c r="K31" s="9"/>
    </row>
    <row r="32" spans="1:11" x14ac:dyDescent="0.25">
      <c r="A32" s="14" t="s">
        <v>77</v>
      </c>
      <c r="B32" s="836">
        <f>SUM(B29:B31)</f>
        <v>6009.1</v>
      </c>
      <c r="C32" s="836"/>
      <c r="D32" s="836"/>
      <c r="E32" s="832">
        <f>SUM(E27:E31)</f>
        <v>718184.64400000009</v>
      </c>
      <c r="F32" s="832">
        <f>SUM(F27:F31)</f>
        <v>645787.21022054518</v>
      </c>
      <c r="G32" s="839">
        <f>SUM(G27:G31)</f>
        <v>466733.83999999997</v>
      </c>
      <c r="H32" s="14">
        <f>SUM(H27:H31)</f>
        <v>466733.83999999997</v>
      </c>
      <c r="I32" s="9"/>
      <c r="K32" s="9"/>
    </row>
    <row r="33" spans="1:9" x14ac:dyDescent="0.25">
      <c r="I33" s="9"/>
    </row>
    <row r="35" spans="1:9" x14ac:dyDescent="0.25">
      <c r="A35" s="14" t="s">
        <v>532</v>
      </c>
      <c r="E35" s="40">
        <f>I5+E16+E27</f>
        <v>1687042.1199999999</v>
      </c>
      <c r="F35">
        <v>1671633.39</v>
      </c>
      <c r="G35">
        <f>F35/E35</f>
        <v>0.99086642246964174</v>
      </c>
    </row>
    <row r="36" spans="1:9" x14ac:dyDescent="0.25">
      <c r="A36" s="14" t="s">
        <v>533</v>
      </c>
      <c r="E36" s="40">
        <f t="shared" ref="E36:E39" si="8">I6+E17+E28</f>
        <v>0</v>
      </c>
    </row>
    <row r="37" spans="1:9" x14ac:dyDescent="0.25">
      <c r="A37" s="833" t="s">
        <v>534</v>
      </c>
      <c r="E37" s="40">
        <f t="shared" si="8"/>
        <v>704510.3</v>
      </c>
      <c r="F37">
        <v>566947.78</v>
      </c>
      <c r="G37">
        <f t="shared" ref="G37:G39" si="9">F37/E37</f>
        <v>0.80474022878018958</v>
      </c>
    </row>
    <row r="38" spans="1:9" x14ac:dyDescent="0.25">
      <c r="A38" s="833" t="s">
        <v>535</v>
      </c>
      <c r="E38" s="40">
        <f t="shared" si="8"/>
        <v>159398.70000000001</v>
      </c>
      <c r="F38">
        <v>134863.01999999999</v>
      </c>
      <c r="G38">
        <f t="shared" si="9"/>
        <v>0.84607352506639</v>
      </c>
    </row>
    <row r="39" spans="1:9" x14ac:dyDescent="0.25">
      <c r="A39" s="833" t="s">
        <v>536</v>
      </c>
      <c r="E39" s="40">
        <f t="shared" si="8"/>
        <v>703971.32500000007</v>
      </c>
      <c r="F39">
        <v>535875.99</v>
      </c>
      <c r="G39">
        <f t="shared" si="9"/>
        <v>0.76121849139238729</v>
      </c>
    </row>
    <row r="40" spans="1:9" x14ac:dyDescent="0.25">
      <c r="E40" s="844">
        <f>SUM(E35:E39)</f>
        <v>3254922.4450000003</v>
      </c>
      <c r="F40">
        <f>SUM(F35:F39)</f>
        <v>2909320.1799999997</v>
      </c>
    </row>
  </sheetData>
  <mergeCells count="12">
    <mergeCell ref="K3:K4"/>
    <mergeCell ref="A3:A4"/>
    <mergeCell ref="B3:B4"/>
    <mergeCell ref="E3:F3"/>
    <mergeCell ref="G3:H3"/>
    <mergeCell ref="I3:J3"/>
    <mergeCell ref="A14:A15"/>
    <mergeCell ref="B14:B15"/>
    <mergeCell ref="E14:F14"/>
    <mergeCell ref="A25:A26"/>
    <mergeCell ref="B25:B26"/>
    <mergeCell ref="E25:F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workbookViewId="0">
      <selection activeCell="I34" sqref="I34"/>
    </sheetView>
  </sheetViews>
  <sheetFormatPr defaultRowHeight="15" x14ac:dyDescent="0.25"/>
  <cols>
    <col min="1" max="1" width="14.140625" customWidth="1"/>
    <col min="2" max="2" width="11.42578125" customWidth="1"/>
    <col min="3" max="4" width="12" customWidth="1"/>
    <col min="7" max="7" width="12.5703125" customWidth="1"/>
    <col min="8" max="8" width="12.7109375" customWidth="1"/>
    <col min="9" max="9" width="16.140625" customWidth="1"/>
    <col min="10" max="10" width="11.85546875" customWidth="1"/>
    <col min="12" max="12" width="12.7109375" customWidth="1"/>
    <col min="13" max="14" width="12.28515625" customWidth="1"/>
    <col min="15" max="15" width="11.5703125" customWidth="1"/>
    <col min="16" max="16" width="12.5703125" customWidth="1"/>
    <col min="22" max="22" width="11.7109375" customWidth="1"/>
    <col min="25" max="25" width="13" customWidth="1"/>
  </cols>
  <sheetData>
    <row r="2" spans="1:25" x14ac:dyDescent="0.25">
      <c r="A2" t="s">
        <v>452</v>
      </c>
      <c r="B2" s="59" t="s">
        <v>547</v>
      </c>
    </row>
    <row r="3" spans="1:25" x14ac:dyDescent="0.25">
      <c r="A3" s="911" t="s">
        <v>130</v>
      </c>
      <c r="B3" s="1041" t="s">
        <v>521</v>
      </c>
      <c r="C3" s="1043" t="s">
        <v>548</v>
      </c>
      <c r="D3" s="1041" t="s">
        <v>549</v>
      </c>
      <c r="E3" s="1029" t="s">
        <v>550</v>
      </c>
      <c r="F3" s="829" t="s">
        <v>522</v>
      </c>
      <c r="G3" s="14" t="s">
        <v>551</v>
      </c>
      <c r="H3" s="1029" t="s">
        <v>77</v>
      </c>
      <c r="I3" s="1029"/>
      <c r="J3" s="1045" t="s">
        <v>463</v>
      </c>
      <c r="K3" s="1046"/>
      <c r="L3" s="1047" t="s">
        <v>552</v>
      </c>
      <c r="M3" s="1048"/>
      <c r="N3" s="1049" t="s">
        <v>524</v>
      </c>
    </row>
    <row r="4" spans="1:25" x14ac:dyDescent="0.25">
      <c r="A4" s="912"/>
      <c r="B4" s="1042"/>
      <c r="C4" s="1044"/>
      <c r="D4" s="1042"/>
      <c r="E4" s="1029"/>
      <c r="F4" s="829"/>
      <c r="G4" s="14" t="s">
        <v>553</v>
      </c>
      <c r="H4" s="14" t="s">
        <v>478</v>
      </c>
      <c r="I4" s="14" t="s">
        <v>475</v>
      </c>
      <c r="J4" s="14" t="s">
        <v>478</v>
      </c>
      <c r="K4" s="14" t="s">
        <v>475</v>
      </c>
      <c r="L4" s="774" t="s">
        <v>478</v>
      </c>
      <c r="M4" s="774" t="s">
        <v>475</v>
      </c>
      <c r="N4" s="1049"/>
      <c r="O4" s="794" t="s">
        <v>460</v>
      </c>
      <c r="P4" s="794" t="s">
        <v>527</v>
      </c>
      <c r="Q4" s="794" t="s">
        <v>528</v>
      </c>
      <c r="R4" s="794" t="s">
        <v>458</v>
      </c>
      <c r="S4" s="794" t="s">
        <v>465</v>
      </c>
      <c r="T4" s="794" t="s">
        <v>467</v>
      </c>
      <c r="U4" s="514" t="s">
        <v>554</v>
      </c>
      <c r="V4" s="794" t="s">
        <v>466</v>
      </c>
      <c r="W4" s="514" t="s">
        <v>555</v>
      </c>
      <c r="X4" s="514" t="s">
        <v>556</v>
      </c>
      <c r="Y4" s="794" t="s">
        <v>531</v>
      </c>
    </row>
    <row r="5" spans="1:25" x14ac:dyDescent="0.25">
      <c r="A5" s="14" t="s">
        <v>557</v>
      </c>
      <c r="B5" s="845">
        <v>5080.3999999999996</v>
      </c>
      <c r="C5" s="846">
        <v>13.11</v>
      </c>
      <c r="D5" s="845">
        <f>B5*C5*5+490.3</f>
        <v>333510.51999999996</v>
      </c>
      <c r="E5" s="14">
        <f>B5*C5+97.68</f>
        <v>66701.723999999987</v>
      </c>
      <c r="F5" s="14">
        <v>13.81</v>
      </c>
      <c r="G5" s="38">
        <f>280675.44+140337.72</f>
        <v>421013.16000000003</v>
      </c>
      <c r="H5" s="38">
        <f>D5+E5+G5</f>
        <v>821225.40399999998</v>
      </c>
      <c r="I5" s="38">
        <f>0.924*H5+9582.78</f>
        <v>768395.053296</v>
      </c>
      <c r="J5" s="14">
        <v>10863.66</v>
      </c>
      <c r="K5" s="14">
        <v>10240.91</v>
      </c>
      <c r="L5" s="832">
        <f>H5+J5</f>
        <v>832089.06400000001</v>
      </c>
      <c r="M5" s="832">
        <f>I5+K5</f>
        <v>778635.96329600003</v>
      </c>
      <c r="N5" s="847">
        <f>O5+P5+Q5+R5+S5+T5+U5+V5+W5+Y5</f>
        <v>905893.2497129112</v>
      </c>
      <c r="O5" s="38">
        <f>1796939.87/20286.4*B5</f>
        <v>450014.45872840914</v>
      </c>
      <c r="P5" s="38">
        <v>41490.660000000003</v>
      </c>
      <c r="Q5" s="38">
        <v>22023.91</v>
      </c>
      <c r="R5" s="38">
        <v>3630.95</v>
      </c>
      <c r="S5" s="38">
        <v>10683.67</v>
      </c>
      <c r="T5" s="38">
        <v>18127.37</v>
      </c>
      <c r="U5" s="814"/>
      <c r="V5" s="38">
        <v>185849.26</v>
      </c>
      <c r="W5" s="814">
        <f>(800+104.12+1280+990+6871.85+209)/20286.4*B5</f>
        <v>2568.1909845019322</v>
      </c>
      <c r="X5" s="814">
        <f>7000/20286.4*B5</f>
        <v>1753.036517075479</v>
      </c>
      <c r="Y5" s="38">
        <f>155806.85+806.88+14891.05</f>
        <v>171504.78</v>
      </c>
    </row>
    <row r="6" spans="1:25" x14ac:dyDescent="0.25">
      <c r="A6" s="14" t="s">
        <v>558</v>
      </c>
      <c r="B6" s="845">
        <v>4252</v>
      </c>
      <c r="C6" s="846">
        <v>13.11</v>
      </c>
      <c r="D6" s="845">
        <f>B6*C6*5+99.22</f>
        <v>278817.81999999995</v>
      </c>
      <c r="E6" s="14">
        <f>B6*C6+19.82</f>
        <v>55763.54</v>
      </c>
      <c r="F6" s="14">
        <v>13.11</v>
      </c>
      <c r="G6" s="38">
        <f>223016.56+111508.28</f>
        <v>334524.83999999997</v>
      </c>
      <c r="H6" s="38">
        <f t="shared" ref="H6:H10" si="0">D6+E6+G6</f>
        <v>669106.19999999995</v>
      </c>
      <c r="I6" s="38">
        <f>0.88*H6+15812.67</f>
        <v>604626.12600000005</v>
      </c>
      <c r="J6" s="14">
        <v>6312.9</v>
      </c>
      <c r="K6" s="14">
        <v>5877.83</v>
      </c>
      <c r="L6" s="832">
        <f>H6+J6</f>
        <v>675419.1</v>
      </c>
      <c r="M6" s="832">
        <f t="shared" ref="L6:M10" si="1">I6+K6</f>
        <v>610503.95600000001</v>
      </c>
      <c r="N6" s="847">
        <f t="shared" ref="N6:N10" si="2">O6+P6+Q6+R6+S6+T6+U6+V6+W6+Y6</f>
        <v>750555.9758293241</v>
      </c>
      <c r="O6" s="38">
        <f t="shared" ref="O6:O9" si="3">1796939.87/20286.4*B6</f>
        <v>376635.98899952677</v>
      </c>
      <c r="P6" s="38">
        <v>37329.620000000003</v>
      </c>
      <c r="Q6" s="38">
        <v>19916.86</v>
      </c>
      <c r="R6" s="38">
        <v>3038.89</v>
      </c>
      <c r="S6" s="38">
        <v>8999.4699999999993</v>
      </c>
      <c r="T6" s="38">
        <v>15171.53</v>
      </c>
      <c r="U6" s="814">
        <v>2549.44</v>
      </c>
      <c r="V6" s="38">
        <v>155545.01</v>
      </c>
      <c r="W6" s="814">
        <f t="shared" ref="W6:W9" si="4">(800+104.12+1280+990+6871.85+209)/20286.4*B6</f>
        <v>2149.4268297973026</v>
      </c>
      <c r="X6" s="814">
        <f t="shared" ref="X6:X9" si="5">7000/20286.4*B6</f>
        <v>1467.1898414701475</v>
      </c>
      <c r="Y6" s="38">
        <f>118593.49+760.23+9866.02</f>
        <v>129219.74</v>
      </c>
    </row>
    <row r="7" spans="1:25" x14ac:dyDescent="0.25">
      <c r="A7" s="14" t="s">
        <v>559</v>
      </c>
      <c r="B7" s="845">
        <v>3708.7</v>
      </c>
      <c r="C7" s="846">
        <v>13.11</v>
      </c>
      <c r="D7" s="845">
        <f>B7*C7*5+75.66</f>
        <v>243180.94499999998</v>
      </c>
      <c r="E7" s="14">
        <v>48628.94</v>
      </c>
      <c r="F7" s="14">
        <v>13.8</v>
      </c>
      <c r="G7" s="38">
        <f>204753.36+77857.99</f>
        <v>282611.34999999998</v>
      </c>
      <c r="H7" s="814">
        <f t="shared" si="0"/>
        <v>574421.23499999999</v>
      </c>
      <c r="I7" s="38">
        <f>0.908*H7+2289.05</f>
        <v>523863.53138</v>
      </c>
      <c r="J7" s="14">
        <v>7891</v>
      </c>
      <c r="K7" s="14">
        <v>7840.86</v>
      </c>
      <c r="L7" s="832">
        <f t="shared" si="1"/>
        <v>582312.23499999999</v>
      </c>
      <c r="M7" s="832">
        <f t="shared" si="1"/>
        <v>531704.39138000004</v>
      </c>
      <c r="N7" s="847">
        <f t="shared" si="2"/>
        <v>662953.05696289137</v>
      </c>
      <c r="O7" s="38">
        <f t="shared" si="3"/>
        <v>328511.26350012817</v>
      </c>
      <c r="P7" s="38">
        <v>32742.73</v>
      </c>
      <c r="Q7" s="38">
        <v>12544.62</v>
      </c>
      <c r="R7" s="38">
        <v>2650.59</v>
      </c>
      <c r="S7" s="38">
        <v>8248.07</v>
      </c>
      <c r="T7" s="38">
        <v>13232.99</v>
      </c>
      <c r="U7" s="814"/>
      <c r="V7" s="38">
        <v>135670.24</v>
      </c>
      <c r="W7" s="814">
        <f t="shared" si="4"/>
        <v>1874.7834627632305</v>
      </c>
      <c r="X7" s="814">
        <f t="shared" si="5"/>
        <v>1279.7194179351682</v>
      </c>
      <c r="Y7" s="38">
        <f>115206.26+713.16+11558.35</f>
        <v>127477.77</v>
      </c>
    </row>
    <row r="8" spans="1:25" x14ac:dyDescent="0.25">
      <c r="A8" s="14" t="s">
        <v>560</v>
      </c>
      <c r="B8" s="845">
        <v>2878.3</v>
      </c>
      <c r="C8" s="846">
        <v>13.11</v>
      </c>
      <c r="D8" s="845">
        <f>B8*C8*5-623.98</f>
        <v>188048.58499999999</v>
      </c>
      <c r="E8" s="14">
        <v>37692.58</v>
      </c>
      <c r="F8" s="14">
        <v>13.11</v>
      </c>
      <c r="G8" s="38">
        <f>150770.32+75385.16</f>
        <v>226155.48</v>
      </c>
      <c r="H8" s="38">
        <f>D8+E8+G8+82.88</f>
        <v>451979.52500000002</v>
      </c>
      <c r="I8" s="38">
        <f>0.83*H8-7593.9</f>
        <v>367549.10574999999</v>
      </c>
      <c r="J8" s="14">
        <v>6209.04</v>
      </c>
      <c r="K8" s="14">
        <v>5337.57</v>
      </c>
      <c r="L8" s="832">
        <f t="shared" si="1"/>
        <v>458188.565</v>
      </c>
      <c r="M8" s="832">
        <f t="shared" si="1"/>
        <v>372886.67574999999</v>
      </c>
      <c r="N8" s="847">
        <f t="shared" si="2"/>
        <v>520360.33496273361</v>
      </c>
      <c r="O8" s="38">
        <f t="shared" si="3"/>
        <v>254955.63667388004</v>
      </c>
      <c r="P8" s="38">
        <v>34370.69</v>
      </c>
      <c r="Q8" s="38">
        <v>7581.92</v>
      </c>
      <c r="R8" s="38">
        <v>2057.04</v>
      </c>
      <c r="S8" s="38">
        <v>5774.92</v>
      </c>
      <c r="T8" s="38">
        <v>10269.67</v>
      </c>
      <c r="U8" s="814"/>
      <c r="V8" s="38">
        <v>105289.2</v>
      </c>
      <c r="W8" s="814">
        <f t="shared" si="4"/>
        <v>1455.0082888536165</v>
      </c>
      <c r="X8" s="814">
        <f t="shared" si="5"/>
        <v>993.18262481268232</v>
      </c>
      <c r="Y8" s="38">
        <f>88961.88+666.39+8977.98</f>
        <v>98606.25</v>
      </c>
    </row>
    <row r="9" spans="1:25" x14ac:dyDescent="0.25">
      <c r="A9" s="14" t="s">
        <v>561</v>
      </c>
      <c r="B9" s="845">
        <v>4367</v>
      </c>
      <c r="C9" s="846">
        <v>13.11</v>
      </c>
      <c r="D9" s="845">
        <f>B9*C9*5+63.5</f>
        <v>286320.34999999998</v>
      </c>
      <c r="E9" s="14">
        <v>57256.56</v>
      </c>
      <c r="F9" s="14">
        <v>13.11</v>
      </c>
      <c r="G9" s="38">
        <f>57256.56*4+114513.12</f>
        <v>343539.36</v>
      </c>
      <c r="H9" s="38">
        <f>D9+E9+G9-7.02</f>
        <v>687109.25</v>
      </c>
      <c r="I9" s="38">
        <f>0.887*H9-4091.99</f>
        <v>605373.91475</v>
      </c>
      <c r="J9" s="14">
        <v>11271.36</v>
      </c>
      <c r="K9" s="14">
        <v>10609.54</v>
      </c>
      <c r="L9" s="832">
        <f t="shared" si="1"/>
        <v>698380.61</v>
      </c>
      <c r="M9" s="832">
        <f t="shared" si="1"/>
        <v>615983.45475000003</v>
      </c>
      <c r="N9" s="847">
        <f t="shared" si="2"/>
        <v>793955.93253213982</v>
      </c>
      <c r="O9" s="38">
        <f t="shared" si="3"/>
        <v>386822.52209805587</v>
      </c>
      <c r="P9" s="38">
        <v>45913.65</v>
      </c>
      <c r="Q9" s="38">
        <v>10762.29</v>
      </c>
      <c r="R9" s="38">
        <v>3135.37</v>
      </c>
      <c r="S9" s="38">
        <v>10657.2</v>
      </c>
      <c r="T9" s="38">
        <v>15653.24</v>
      </c>
      <c r="U9" s="814"/>
      <c r="V9" s="38">
        <v>160483.54999999999</v>
      </c>
      <c r="W9" s="814">
        <f t="shared" si="4"/>
        <v>2207.5604340839182</v>
      </c>
      <c r="X9" s="814">
        <f t="shared" si="5"/>
        <v>1506.8715987065225</v>
      </c>
      <c r="Y9" s="38">
        <f>144581.69+767.84+12971.02</f>
        <v>158320.54999999999</v>
      </c>
    </row>
    <row r="10" spans="1:25" x14ac:dyDescent="0.25">
      <c r="A10" s="173" t="s">
        <v>562</v>
      </c>
      <c r="B10" s="848">
        <f>SUM(B5:B9)</f>
        <v>20286.399999999998</v>
      </c>
      <c r="C10" s="849"/>
      <c r="D10" s="848">
        <f t="shared" ref="D10" si="6">SUM(D5:D9)</f>
        <v>1329878.2199999997</v>
      </c>
      <c r="E10" s="14"/>
      <c r="F10" s="14"/>
      <c r="G10" s="38">
        <f>SUM(G5:G9)</f>
        <v>1607844.19</v>
      </c>
      <c r="H10" s="38">
        <f t="shared" si="0"/>
        <v>2937722.4099999997</v>
      </c>
      <c r="I10" s="38">
        <f>SUM(I5:I9)</f>
        <v>2869807.7311760001</v>
      </c>
      <c r="J10" s="14">
        <f>SUM(J5:J9)</f>
        <v>42547.96</v>
      </c>
      <c r="K10" s="14">
        <f>SUM(K5:K9)</f>
        <v>39906.71</v>
      </c>
      <c r="L10" s="832">
        <f t="shared" si="1"/>
        <v>2980270.3699999996</v>
      </c>
      <c r="M10" s="832">
        <f t="shared" si="1"/>
        <v>2909714.4411760001</v>
      </c>
      <c r="N10" s="847">
        <f t="shared" si="2"/>
        <v>3633718.5500000007</v>
      </c>
      <c r="O10" s="38">
        <f t="shared" ref="O10:T10" si="7">SUM(O5:O9)</f>
        <v>1796939.8699999999</v>
      </c>
      <c r="P10" s="38">
        <f t="shared" si="7"/>
        <v>191847.35</v>
      </c>
      <c r="Q10" s="38">
        <f t="shared" si="7"/>
        <v>72829.600000000006</v>
      </c>
      <c r="R10" s="38">
        <f t="shared" si="7"/>
        <v>14512.84</v>
      </c>
      <c r="S10" s="38">
        <f t="shared" si="7"/>
        <v>44363.33</v>
      </c>
      <c r="T10" s="38">
        <f t="shared" si="7"/>
        <v>72454.8</v>
      </c>
      <c r="U10" s="814">
        <f>SUM(U6:U9)</f>
        <v>2549.44</v>
      </c>
      <c r="V10" s="38">
        <f>SUM(V5:V9)</f>
        <v>742837.26</v>
      </c>
      <c r="W10" s="814">
        <f>SUM(W5:W9)</f>
        <v>10254.969999999999</v>
      </c>
      <c r="X10" s="814">
        <f>SUM(X5:X9)</f>
        <v>7000</v>
      </c>
      <c r="Y10" s="38">
        <f>SUM(Y5:Y9)</f>
        <v>685129.09000000008</v>
      </c>
    </row>
    <row r="11" spans="1:25" x14ac:dyDescent="0.25">
      <c r="O11" s="38"/>
    </row>
    <row r="12" spans="1:25" x14ac:dyDescent="0.25">
      <c r="H12" s="40"/>
      <c r="I12" s="40"/>
    </row>
    <row r="13" spans="1:25" x14ac:dyDescent="0.25">
      <c r="A13" t="s">
        <v>563</v>
      </c>
      <c r="H13" s="40"/>
      <c r="I13" s="40"/>
      <c r="J13" s="1050" t="s">
        <v>564</v>
      </c>
      <c r="K13" s="23"/>
      <c r="L13" s="23"/>
      <c r="M13" s="23"/>
    </row>
    <row r="14" spans="1:25" x14ac:dyDescent="0.25">
      <c r="A14" s="911" t="s">
        <v>130</v>
      </c>
      <c r="B14" s="1041" t="s">
        <v>521</v>
      </c>
      <c r="C14" s="1043" t="s">
        <v>565</v>
      </c>
      <c r="D14" s="1041" t="s">
        <v>549</v>
      </c>
      <c r="E14" s="1029" t="s">
        <v>550</v>
      </c>
      <c r="F14" s="829"/>
      <c r="G14" s="14" t="s">
        <v>551</v>
      </c>
      <c r="H14" s="1040" t="s">
        <v>77</v>
      </c>
      <c r="I14" s="1040"/>
      <c r="J14" s="1051"/>
      <c r="K14" s="1053" t="s">
        <v>515</v>
      </c>
      <c r="L14" s="1053" t="s">
        <v>566</v>
      </c>
      <c r="M14" s="911" t="s">
        <v>567</v>
      </c>
      <c r="N14" s="1027" t="s">
        <v>568</v>
      </c>
      <c r="O14" s="911" t="s">
        <v>541</v>
      </c>
      <c r="P14" s="911" t="s">
        <v>569</v>
      </c>
      <c r="Q14" s="1027" t="s">
        <v>570</v>
      </c>
      <c r="R14" s="1027" t="s">
        <v>571</v>
      </c>
      <c r="S14" s="1027" t="s">
        <v>572</v>
      </c>
      <c r="T14" s="1027" t="s">
        <v>573</v>
      </c>
      <c r="U14" s="1027" t="s">
        <v>574</v>
      </c>
      <c r="V14" s="1026" t="s">
        <v>575</v>
      </c>
      <c r="W14" s="1026" t="s">
        <v>576</v>
      </c>
      <c r="X14" s="1026" t="s">
        <v>577</v>
      </c>
      <c r="Y14" s="1026" t="s">
        <v>578</v>
      </c>
    </row>
    <row r="15" spans="1:25" x14ac:dyDescent="0.25">
      <c r="A15" s="912"/>
      <c r="B15" s="1042"/>
      <c r="C15" s="1044"/>
      <c r="D15" s="1042"/>
      <c r="E15" s="1029"/>
      <c r="F15" s="829"/>
      <c r="G15" s="14" t="s">
        <v>553</v>
      </c>
      <c r="H15" s="785" t="s">
        <v>478</v>
      </c>
      <c r="I15" s="785" t="s">
        <v>475</v>
      </c>
      <c r="J15" s="1052"/>
      <c r="K15" s="1054"/>
      <c r="L15" s="1054"/>
      <c r="M15" s="912"/>
      <c r="N15" s="1028"/>
      <c r="O15" s="912"/>
      <c r="P15" s="912"/>
      <c r="Q15" s="1028"/>
      <c r="R15" s="1028"/>
      <c r="S15" s="1028"/>
      <c r="T15" s="1028"/>
      <c r="U15" s="1028"/>
      <c r="V15" s="1026"/>
      <c r="W15" s="1026"/>
      <c r="X15" s="1026"/>
      <c r="Y15" s="1026"/>
    </row>
    <row r="16" spans="1:25" x14ac:dyDescent="0.25">
      <c r="A16" s="14" t="s">
        <v>557</v>
      </c>
      <c r="B16" s="845">
        <v>5080.3999999999996</v>
      </c>
      <c r="C16" s="850">
        <v>5</v>
      </c>
      <c r="D16" s="845">
        <f>B16*C16*5</f>
        <v>127010</v>
      </c>
      <c r="E16" s="14">
        <f>B16*C16</f>
        <v>25402</v>
      </c>
      <c r="F16" s="14"/>
      <c r="G16" s="38">
        <f>101694+50847</f>
        <v>152541</v>
      </c>
      <c r="H16" s="785">
        <f>D16+E16+G16</f>
        <v>304953</v>
      </c>
      <c r="I16" s="785">
        <f>0.924*H16</f>
        <v>281776.57199999999</v>
      </c>
      <c r="J16" s="851">
        <f>K16+L16+M16+N16+O16+P16+Q16+R16+S16+T16+V16+X16+Y16</f>
        <v>353103</v>
      </c>
      <c r="K16" s="14">
        <f>26397+131990</f>
        <v>158387</v>
      </c>
      <c r="L16" s="786">
        <v>94548</v>
      </c>
      <c r="M16" s="786"/>
      <c r="N16" s="14"/>
      <c r="O16" s="14">
        <v>5500</v>
      </c>
      <c r="P16" s="14"/>
      <c r="Q16" s="14">
        <v>46056</v>
      </c>
      <c r="R16" s="14">
        <v>48612</v>
      </c>
      <c r="S16" s="14"/>
      <c r="T16" s="14"/>
      <c r="U16" s="14">
        <v>175000</v>
      </c>
      <c r="V16" s="14"/>
      <c r="W16" s="14"/>
      <c r="X16" s="14"/>
      <c r="Y16" s="14"/>
    </row>
    <row r="17" spans="1:25" x14ac:dyDescent="0.25">
      <c r="A17" s="14" t="s">
        <v>558</v>
      </c>
      <c r="B17" s="845">
        <v>4252</v>
      </c>
      <c r="C17" s="850">
        <v>6.96</v>
      </c>
      <c r="D17" s="845">
        <f t="shared" ref="D17" si="8">B17*C17*5</f>
        <v>147969.59999999998</v>
      </c>
      <c r="E17" s="14">
        <f>B17*C17</f>
        <v>29593.919999999998</v>
      </c>
      <c r="F17" s="14"/>
      <c r="G17" s="38">
        <f>161606.48+80803.24</f>
        <v>242409.72000000003</v>
      </c>
      <c r="H17" s="785">
        <f t="shared" ref="H17:H21" si="9">D17+E17+G17</f>
        <v>419973.24</v>
      </c>
      <c r="I17" s="785">
        <f>0.88*H17</f>
        <v>369576.45120000001</v>
      </c>
      <c r="J17" s="851">
        <f t="shared" ref="J17:J20" si="10">K17+L17+M17+N17+O17+P17+Q17+R17+S17+T17+V17+X17+Y17</f>
        <v>628758.75</v>
      </c>
      <c r="K17" s="14">
        <v>100316</v>
      </c>
      <c r="L17" s="786"/>
      <c r="M17" s="786">
        <v>140927.75</v>
      </c>
      <c r="N17" s="14">
        <v>280000</v>
      </c>
      <c r="O17" s="14">
        <v>16500</v>
      </c>
      <c r="P17" s="14"/>
      <c r="Q17" s="14"/>
      <c r="R17" s="14">
        <v>33726</v>
      </c>
      <c r="S17" s="14"/>
      <c r="T17" s="14"/>
      <c r="U17" s="14"/>
      <c r="V17" s="14">
        <v>57289</v>
      </c>
      <c r="W17" s="14"/>
      <c r="X17" s="14"/>
      <c r="Y17" s="14"/>
    </row>
    <row r="18" spans="1:25" x14ac:dyDescent="0.25">
      <c r="A18" s="14" t="s">
        <v>559</v>
      </c>
      <c r="B18" s="845">
        <v>3708.7</v>
      </c>
      <c r="C18" s="850">
        <v>7.43</v>
      </c>
      <c r="D18" s="845">
        <f>B18*C18*5</f>
        <v>137778.20499999999</v>
      </c>
      <c r="E18" s="14">
        <v>27560.12</v>
      </c>
      <c r="F18" s="14">
        <v>8.6999999999999993</v>
      </c>
      <c r="G18" s="38">
        <f>129083.64+62157.05</f>
        <v>191240.69</v>
      </c>
      <c r="H18" s="785">
        <f t="shared" si="9"/>
        <v>356579.01500000001</v>
      </c>
      <c r="I18" s="785">
        <f>0.908*H18</f>
        <v>323773.74562</v>
      </c>
      <c r="J18" s="851">
        <f t="shared" si="10"/>
        <v>478005</v>
      </c>
      <c r="K18" s="14">
        <v>58076</v>
      </c>
      <c r="L18" s="786">
        <v>91863</v>
      </c>
      <c r="M18" s="786">
        <v>154502</v>
      </c>
      <c r="N18" s="14"/>
      <c r="O18" s="14"/>
      <c r="P18" s="14"/>
      <c r="Q18" s="14"/>
      <c r="R18" s="14"/>
      <c r="S18" s="14">
        <v>38403</v>
      </c>
      <c r="T18" s="14">
        <v>71301</v>
      </c>
      <c r="U18" s="14"/>
      <c r="V18" s="14">
        <v>63860</v>
      </c>
      <c r="W18" s="794">
        <v>30000</v>
      </c>
      <c r="X18" s="14"/>
      <c r="Y18" s="14"/>
    </row>
    <row r="19" spans="1:25" x14ac:dyDescent="0.25">
      <c r="A19" s="14" t="s">
        <v>560</v>
      </c>
      <c r="B19" s="845">
        <v>2878.3</v>
      </c>
      <c r="C19" s="850">
        <v>21.2</v>
      </c>
      <c r="D19" s="845">
        <f>B19*C19*4</f>
        <v>244079.84</v>
      </c>
      <c r="E19" s="14">
        <v>121904.24</v>
      </c>
      <c r="F19" s="774" t="s">
        <v>579</v>
      </c>
      <c r="G19" s="38">
        <f>207007.2+103503.6</f>
        <v>310510.80000000005</v>
      </c>
      <c r="H19" s="785">
        <f t="shared" si="9"/>
        <v>676494.88000000012</v>
      </c>
      <c r="I19" s="785">
        <f>0.83*H19</f>
        <v>561490.75040000002</v>
      </c>
      <c r="J19" s="851">
        <f>K19+L19+M19+N19+O19+P19+Q19+R19+S19+T19+V19+X19+Y19</f>
        <v>722221.13</v>
      </c>
      <c r="K19" s="14"/>
      <c r="L19" s="786">
        <v>76984</v>
      </c>
      <c r="M19" s="786">
        <v>88298.13</v>
      </c>
      <c r="N19" s="14">
        <v>183000</v>
      </c>
      <c r="O19" s="14">
        <v>2200</v>
      </c>
      <c r="P19" s="14"/>
      <c r="Q19" s="14">
        <v>25161</v>
      </c>
      <c r="R19" s="14">
        <v>25161</v>
      </c>
      <c r="S19" s="14"/>
      <c r="T19" s="14"/>
      <c r="U19" s="14"/>
      <c r="V19" s="14">
        <v>57029</v>
      </c>
      <c r="W19" s="14"/>
      <c r="X19" s="14">
        <v>247000</v>
      </c>
      <c r="Y19" s="14">
        <v>17388</v>
      </c>
    </row>
    <row r="20" spans="1:25" x14ac:dyDescent="0.25">
      <c r="A20" s="14" t="s">
        <v>561</v>
      </c>
      <c r="B20" s="845">
        <v>4367</v>
      </c>
      <c r="C20" s="850">
        <v>13.83</v>
      </c>
      <c r="D20" s="845">
        <f>B20*C20*4+60401</f>
        <v>301983.44</v>
      </c>
      <c r="E20" s="14">
        <v>60401</v>
      </c>
      <c r="F20" s="14" t="s">
        <v>580</v>
      </c>
      <c r="G20" s="38">
        <f>58959.91*4+117919.82</f>
        <v>353759.46</v>
      </c>
      <c r="H20" s="785">
        <f t="shared" si="9"/>
        <v>716143.9</v>
      </c>
      <c r="I20" s="785">
        <f>0.887*H20</f>
        <v>635219.63930000004</v>
      </c>
      <c r="J20" s="851">
        <f t="shared" si="10"/>
        <v>133194.91</v>
      </c>
      <c r="K20" s="14"/>
      <c r="L20" s="14"/>
      <c r="M20" s="852"/>
      <c r="N20" s="14"/>
      <c r="O20" s="14">
        <v>8800</v>
      </c>
      <c r="P20" s="14">
        <v>40526.910000000003</v>
      </c>
      <c r="Q20" s="14">
        <v>41934</v>
      </c>
      <c r="R20" s="14">
        <v>41934</v>
      </c>
      <c r="S20" s="14"/>
      <c r="T20" s="14"/>
      <c r="U20" s="14"/>
      <c r="V20" s="14"/>
      <c r="W20" s="14"/>
      <c r="X20" s="14"/>
      <c r="Y20" s="14"/>
    </row>
    <row r="21" spans="1:25" x14ac:dyDescent="0.25">
      <c r="A21" s="173" t="s">
        <v>562</v>
      </c>
      <c r="B21" s="848">
        <f>SUM(B16:B20)</f>
        <v>20286.399999999998</v>
      </c>
      <c r="C21" s="848"/>
      <c r="D21" s="848">
        <f t="shared" ref="D21" si="11">SUM(D16:D20)</f>
        <v>958821.08499999996</v>
      </c>
      <c r="E21" s="14"/>
      <c r="F21" s="14"/>
      <c r="G21" s="38">
        <f>SUM(G16:G20)</f>
        <v>1250461.6700000002</v>
      </c>
      <c r="H21" s="785">
        <f t="shared" si="9"/>
        <v>2209282.7549999999</v>
      </c>
      <c r="I21" s="785">
        <f>SUM(I16:I20)</f>
        <v>2171837.1585200001</v>
      </c>
      <c r="J21" s="851">
        <f>SUM(J16:J20)</f>
        <v>2315282.79</v>
      </c>
      <c r="K21" s="14"/>
      <c r="L21" s="786">
        <f t="shared" ref="L21:Y21" si="12">SUM(L16:L20)</f>
        <v>263395</v>
      </c>
      <c r="M21" s="786">
        <f t="shared" si="12"/>
        <v>383727.88</v>
      </c>
      <c r="N21" s="14">
        <f t="shared" si="12"/>
        <v>463000</v>
      </c>
      <c r="O21" s="14">
        <f t="shared" si="12"/>
        <v>33000</v>
      </c>
      <c r="P21" s="14">
        <f t="shared" si="12"/>
        <v>40526.910000000003</v>
      </c>
      <c r="Q21" s="14">
        <f t="shared" si="12"/>
        <v>113151</v>
      </c>
      <c r="R21" s="14">
        <f t="shared" si="12"/>
        <v>149433</v>
      </c>
      <c r="S21" s="14">
        <f t="shared" si="12"/>
        <v>38403</v>
      </c>
      <c r="T21" s="14">
        <f t="shared" si="12"/>
        <v>71301</v>
      </c>
      <c r="U21" s="14">
        <f t="shared" si="12"/>
        <v>175000</v>
      </c>
      <c r="V21" s="14">
        <f t="shared" si="12"/>
        <v>178178</v>
      </c>
      <c r="W21" s="14">
        <f t="shared" si="12"/>
        <v>30000</v>
      </c>
      <c r="X21" s="14">
        <f t="shared" si="12"/>
        <v>247000</v>
      </c>
      <c r="Y21" s="14">
        <f t="shared" si="12"/>
        <v>17388</v>
      </c>
    </row>
    <row r="22" spans="1:25" x14ac:dyDescent="0.25">
      <c r="A22" s="127"/>
      <c r="B22" s="853"/>
      <c r="C22" s="853"/>
      <c r="D22" s="853"/>
      <c r="H22" s="40"/>
      <c r="I22" s="40"/>
      <c r="J22" s="854"/>
    </row>
    <row r="23" spans="1:25" x14ac:dyDescent="0.25">
      <c r="A23" t="s">
        <v>545</v>
      </c>
      <c r="H23" s="40"/>
      <c r="I23" s="40"/>
      <c r="J23" s="854"/>
    </row>
    <row r="24" spans="1:25" x14ac:dyDescent="0.25">
      <c r="A24" s="911" t="s">
        <v>130</v>
      </c>
      <c r="B24" s="1041" t="s">
        <v>521</v>
      </c>
      <c r="C24" s="1043" t="s">
        <v>548</v>
      </c>
      <c r="D24" s="1041" t="s">
        <v>549</v>
      </c>
      <c r="E24" s="1029" t="s">
        <v>550</v>
      </c>
      <c r="F24" s="829"/>
      <c r="G24" s="14" t="s">
        <v>551</v>
      </c>
      <c r="H24" s="1055" t="s">
        <v>77</v>
      </c>
      <c r="I24" s="1055"/>
      <c r="J24" s="1049" t="s">
        <v>524</v>
      </c>
      <c r="K24" s="23"/>
      <c r="L24" s="23"/>
      <c r="M24" s="23"/>
    </row>
    <row r="25" spans="1:25" x14ac:dyDescent="0.25">
      <c r="A25" s="912"/>
      <c r="B25" s="1042"/>
      <c r="C25" s="1044"/>
      <c r="D25" s="1042"/>
      <c r="E25" s="1029"/>
      <c r="F25" s="829"/>
      <c r="G25" s="14" t="s">
        <v>553</v>
      </c>
      <c r="H25" s="785" t="s">
        <v>478</v>
      </c>
      <c r="I25" s="785" t="s">
        <v>475</v>
      </c>
      <c r="J25" s="1049"/>
      <c r="K25" s="794" t="s">
        <v>460</v>
      </c>
      <c r="L25" s="794" t="s">
        <v>546</v>
      </c>
      <c r="M25" s="9"/>
    </row>
    <row r="26" spans="1:25" x14ac:dyDescent="0.25">
      <c r="A26" s="14" t="s">
        <v>557</v>
      </c>
      <c r="B26" s="845">
        <v>5080.3999999999996</v>
      </c>
      <c r="C26" s="846">
        <v>4.7</v>
      </c>
      <c r="D26" s="845">
        <f>B26*C26*5</f>
        <v>119389.4</v>
      </c>
      <c r="E26" s="14">
        <f>B26*C26</f>
        <v>23877.879999999997</v>
      </c>
      <c r="F26" s="14">
        <v>5.85</v>
      </c>
      <c r="G26" s="38">
        <f>118983.04+59491.52</f>
        <v>178474.56</v>
      </c>
      <c r="H26" s="785">
        <f>D26+E26+G26</f>
        <v>321741.83999999997</v>
      </c>
      <c r="I26" s="785">
        <f>0.924*H26</f>
        <v>297289.46015999996</v>
      </c>
      <c r="J26" s="851">
        <f>K26+L26</f>
        <v>429414.35</v>
      </c>
      <c r="K26" s="38">
        <v>22518.48</v>
      </c>
      <c r="L26" s="38">
        <v>406895.87</v>
      </c>
      <c r="M26" s="54"/>
    </row>
    <row r="27" spans="1:25" x14ac:dyDescent="0.25">
      <c r="A27" s="14" t="s">
        <v>558</v>
      </c>
      <c r="B27" s="845">
        <v>4252</v>
      </c>
      <c r="C27" s="846">
        <v>4.7</v>
      </c>
      <c r="D27" s="845">
        <f t="shared" ref="D27" si="13">B27*C27*5</f>
        <v>99922</v>
      </c>
      <c r="E27" s="14">
        <f>B27*C27</f>
        <v>19984.400000000001</v>
      </c>
      <c r="F27" s="14">
        <v>4.7</v>
      </c>
      <c r="G27" s="38">
        <f>79952.68+39976.34</f>
        <v>119929.01999999999</v>
      </c>
      <c r="H27" s="785">
        <f t="shared" ref="H27:H30" si="14">D27+E27+G27</f>
        <v>239835.41999999998</v>
      </c>
      <c r="I27" s="785">
        <f>0.88*H27</f>
        <v>211055.16959999999</v>
      </c>
      <c r="J27" s="851">
        <f t="shared" ref="J27:J31" si="15">K27+L27</f>
        <v>359395.52999999997</v>
      </c>
      <c r="K27" s="38">
        <v>18846.599999999999</v>
      </c>
      <c r="L27" s="38">
        <v>340548.93</v>
      </c>
      <c r="M27" s="54"/>
    </row>
    <row r="28" spans="1:25" x14ac:dyDescent="0.25">
      <c r="A28" s="14" t="s">
        <v>559</v>
      </c>
      <c r="B28" s="845">
        <v>3708.7</v>
      </c>
      <c r="C28" s="846">
        <v>4.7</v>
      </c>
      <c r="D28" s="845">
        <f>B28*C28*4</f>
        <v>69723.56</v>
      </c>
      <c r="E28" s="14">
        <f>21699.6*2</f>
        <v>43399.199999999997</v>
      </c>
      <c r="F28" s="514" t="s">
        <v>581</v>
      </c>
      <c r="G28" s="38">
        <f>86798.4+41710.25</f>
        <v>128508.65</v>
      </c>
      <c r="H28" s="785">
        <f t="shared" si="14"/>
        <v>241631.40999999997</v>
      </c>
      <c r="I28" s="785">
        <f>0.908*H28</f>
        <v>219401.32027999999</v>
      </c>
      <c r="J28" s="851">
        <f t="shared" si="15"/>
        <v>313474.36</v>
      </c>
      <c r="K28" s="38">
        <v>16438.439999999999</v>
      </c>
      <c r="L28" s="38">
        <v>297035.92</v>
      </c>
      <c r="M28" s="54"/>
    </row>
    <row r="29" spans="1:25" x14ac:dyDescent="0.25">
      <c r="A29" s="14" t="s">
        <v>560</v>
      </c>
      <c r="B29" s="845">
        <v>2878.3</v>
      </c>
      <c r="C29" s="846">
        <v>4.7</v>
      </c>
      <c r="D29" s="845">
        <f>B29*C29*4</f>
        <v>54112.040000000008</v>
      </c>
      <c r="E29" s="14">
        <f>16819.48*2</f>
        <v>33638.959999999999</v>
      </c>
      <c r="F29" s="14" t="s">
        <v>581</v>
      </c>
      <c r="G29" s="38">
        <f>67277.92+33638.96</f>
        <v>100916.88</v>
      </c>
      <c r="H29" s="785">
        <f t="shared" si="14"/>
        <v>188667.88</v>
      </c>
      <c r="I29" s="785">
        <f>0.83*H29</f>
        <v>156594.34039999999</v>
      </c>
      <c r="J29" s="851">
        <f t="shared" si="15"/>
        <v>243285.30000000002</v>
      </c>
      <c r="K29" s="38">
        <v>12757.32</v>
      </c>
      <c r="L29" s="38">
        <v>230527.98</v>
      </c>
      <c r="M29" s="54"/>
    </row>
    <row r="30" spans="1:25" x14ac:dyDescent="0.25">
      <c r="A30" s="14" t="s">
        <v>561</v>
      </c>
      <c r="B30" s="845">
        <v>4367</v>
      </c>
      <c r="C30" s="846">
        <v>4.7</v>
      </c>
      <c r="D30" s="845">
        <f>B30*C30*4</f>
        <v>82099.600000000006</v>
      </c>
      <c r="E30" s="14">
        <f>25549.49*2</f>
        <v>51098.98</v>
      </c>
      <c r="F30" s="14" t="s">
        <v>581</v>
      </c>
      <c r="G30" s="38">
        <f>25549.49*4+51098.98</f>
        <v>153296.94</v>
      </c>
      <c r="H30" s="785">
        <f t="shared" si="14"/>
        <v>286495.52</v>
      </c>
      <c r="I30" s="785">
        <f>0.887*H30</f>
        <v>254121.52624000001</v>
      </c>
      <c r="J30" s="851">
        <f t="shared" si="15"/>
        <v>369172.69</v>
      </c>
      <c r="K30" s="38">
        <v>19444.919999999998</v>
      </c>
      <c r="L30" s="38">
        <v>349727.77</v>
      </c>
      <c r="M30" s="54"/>
    </row>
    <row r="31" spans="1:25" x14ac:dyDescent="0.25">
      <c r="A31" s="173" t="s">
        <v>562</v>
      </c>
      <c r="B31" s="848">
        <f>SUM(B26:B30)</f>
        <v>20286.399999999998</v>
      </c>
      <c r="C31" s="849"/>
      <c r="D31" s="848">
        <f t="shared" ref="D31" si="16">SUM(D26:D30)</f>
        <v>425246.6</v>
      </c>
      <c r="E31" s="14"/>
      <c r="F31" s="14"/>
      <c r="G31" s="38">
        <f>SUM(G26:G30)</f>
        <v>681126.05</v>
      </c>
      <c r="H31" s="785">
        <f>SUM(H26:H30)</f>
        <v>1278372.0699999998</v>
      </c>
      <c r="I31" s="785">
        <f>SUM(I26:I30)</f>
        <v>1138461.8166799999</v>
      </c>
      <c r="J31" s="851">
        <f t="shared" si="15"/>
        <v>1714742.23</v>
      </c>
      <c r="K31" s="38">
        <f>SUM(K26:K30)</f>
        <v>90005.759999999995</v>
      </c>
      <c r="L31" s="38">
        <f>SUM(L26:L30)</f>
        <v>1624736.47</v>
      </c>
      <c r="M31" s="855"/>
    </row>
    <row r="32" spans="1:25" x14ac:dyDescent="0.25">
      <c r="A32" s="458"/>
    </row>
    <row r="33" spans="1:3" x14ac:dyDescent="0.25">
      <c r="A33" s="458" t="s">
        <v>552</v>
      </c>
      <c r="B33" s="38" t="s">
        <v>478</v>
      </c>
      <c r="C33" s="38" t="s">
        <v>475</v>
      </c>
    </row>
    <row r="34" spans="1:3" x14ac:dyDescent="0.25">
      <c r="A34" s="14" t="s">
        <v>557</v>
      </c>
      <c r="B34" s="38">
        <f>L5+H16+H26</f>
        <v>1458783.9040000001</v>
      </c>
      <c r="C34" s="38">
        <f>M5+I16+I26</f>
        <v>1357701.9954560001</v>
      </c>
    </row>
  </sheetData>
  <mergeCells count="38">
    <mergeCell ref="W14:W15"/>
    <mergeCell ref="X14:X15"/>
    <mergeCell ref="Y14:Y15"/>
    <mergeCell ref="A24:A25"/>
    <mergeCell ref="B24:B25"/>
    <mergeCell ref="C24:C25"/>
    <mergeCell ref="D24:D25"/>
    <mergeCell ref="E24:E25"/>
    <mergeCell ref="H24:I24"/>
    <mergeCell ref="J24:J25"/>
    <mergeCell ref="Q14:Q15"/>
    <mergeCell ref="R14:R15"/>
    <mergeCell ref="S14:S15"/>
    <mergeCell ref="T14:T15"/>
    <mergeCell ref="U14:U15"/>
    <mergeCell ref="V14:V15"/>
    <mergeCell ref="P14:P15"/>
    <mergeCell ref="J3:K3"/>
    <mergeCell ref="L3:M3"/>
    <mergeCell ref="N3:N4"/>
    <mergeCell ref="J13:J15"/>
    <mergeCell ref="K14:K15"/>
    <mergeCell ref="L14:L15"/>
    <mergeCell ref="M14:M15"/>
    <mergeCell ref="N14:N15"/>
    <mergeCell ref="O14:O15"/>
    <mergeCell ref="H14:I14"/>
    <mergeCell ref="A3:A4"/>
    <mergeCell ref="B3:B4"/>
    <mergeCell ref="C3:C4"/>
    <mergeCell ref="D3:D4"/>
    <mergeCell ref="E3:E4"/>
    <mergeCell ref="H3:I3"/>
    <mergeCell ref="A14:A15"/>
    <mergeCell ref="B14:B15"/>
    <mergeCell ref="C14:C15"/>
    <mergeCell ref="D14:D15"/>
    <mergeCell ref="E14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J105"/>
  <sheetViews>
    <sheetView topLeftCell="C25" workbookViewId="0">
      <selection activeCell="BH49" sqref="BH49"/>
    </sheetView>
  </sheetViews>
  <sheetFormatPr defaultRowHeight="15" x14ac:dyDescent="0.25"/>
  <cols>
    <col min="1" max="1" width="0.42578125" hidden="1" customWidth="1"/>
    <col min="2" max="2" width="13.5703125" hidden="1" customWidth="1"/>
    <col min="3" max="3" width="20.28515625" customWidth="1"/>
    <col min="4" max="4" width="9" customWidth="1"/>
    <col min="5" max="5" width="9.42578125" customWidth="1"/>
    <col min="6" max="6" width="9.85546875" customWidth="1"/>
    <col min="7" max="7" width="9.140625" customWidth="1"/>
    <col min="8" max="8" width="17.42578125" customWidth="1"/>
    <col min="9" max="41" width="12.42578125" customWidth="1"/>
    <col min="42" max="42" width="13.140625" customWidth="1"/>
    <col min="43" max="43" width="11.7109375" customWidth="1"/>
    <col min="44" max="44" width="9.5703125" customWidth="1"/>
    <col min="45" max="45" width="10.42578125" customWidth="1"/>
    <col min="46" max="46" width="11.5703125" customWidth="1"/>
    <col min="47" max="47" width="12.42578125" customWidth="1"/>
    <col min="48" max="48" width="13.5703125" customWidth="1"/>
    <col min="49" max="49" width="11.140625" customWidth="1"/>
    <col min="50" max="50" width="10.28515625" customWidth="1"/>
    <col min="51" max="51" width="10.7109375" customWidth="1"/>
    <col min="52" max="52" width="11" customWidth="1"/>
    <col min="53" max="53" width="10.140625" customWidth="1"/>
    <col min="54" max="54" width="12.42578125" customWidth="1"/>
    <col min="55" max="55" width="12.140625" customWidth="1"/>
    <col min="56" max="56" width="11.7109375" customWidth="1"/>
    <col min="57" max="57" width="11.5703125" customWidth="1"/>
    <col min="58" max="58" width="10.7109375" customWidth="1"/>
    <col min="59" max="59" width="9.85546875" customWidth="1"/>
    <col min="60" max="60" width="13" customWidth="1"/>
    <col min="61" max="61" width="12" customWidth="1"/>
    <col min="62" max="62" width="13.28515625" customWidth="1"/>
    <col min="63" max="63" width="11.140625" customWidth="1"/>
    <col min="64" max="65" width="10.7109375" customWidth="1"/>
    <col min="66" max="67" width="9.140625" customWidth="1"/>
    <col min="68" max="68" width="10.85546875" customWidth="1"/>
    <col min="69" max="69" width="12.28515625" customWidth="1"/>
    <col min="70" max="70" width="9.140625" customWidth="1"/>
    <col min="71" max="71" width="11.85546875" customWidth="1"/>
    <col min="72" max="72" width="11.28515625" customWidth="1"/>
  </cols>
  <sheetData>
    <row r="1" spans="1:93" x14ac:dyDescent="0.25">
      <c r="BE1" s="27"/>
      <c r="BI1" s="111"/>
      <c r="BJ1" s="111"/>
    </row>
    <row r="2" spans="1:93" ht="18.75" x14ac:dyDescent="0.3">
      <c r="D2" s="921" t="s">
        <v>193</v>
      </c>
      <c r="E2" s="921"/>
      <c r="F2" s="921"/>
      <c r="G2" s="921"/>
      <c r="H2" s="921"/>
      <c r="I2" s="921"/>
      <c r="J2" s="921"/>
      <c r="K2" s="921"/>
      <c r="L2" s="921"/>
      <c r="M2" s="921"/>
      <c r="N2" s="921"/>
      <c r="O2" s="921"/>
      <c r="P2" s="921"/>
      <c r="Q2" s="921"/>
      <c r="R2" s="921"/>
      <c r="S2" s="921"/>
      <c r="T2" s="921"/>
      <c r="U2" s="921"/>
      <c r="V2" s="921"/>
      <c r="W2" s="921"/>
      <c r="X2" s="921"/>
      <c r="Y2" s="921"/>
      <c r="Z2" s="921"/>
      <c r="AA2" s="921"/>
      <c r="AB2" s="921"/>
      <c r="AC2" s="921"/>
      <c r="AD2" s="921"/>
      <c r="AE2" s="921"/>
      <c r="AF2" s="921"/>
      <c r="AG2" s="921"/>
      <c r="AH2" s="921"/>
      <c r="AI2" s="921"/>
      <c r="AJ2" s="921"/>
      <c r="AK2" s="921"/>
      <c r="AL2" s="921"/>
      <c r="AM2" s="921"/>
      <c r="AN2" s="921"/>
      <c r="AO2" s="921"/>
      <c r="AP2" s="921"/>
      <c r="AQ2" s="921"/>
      <c r="AR2" s="921"/>
      <c r="AS2" s="921"/>
      <c r="AT2" s="921"/>
      <c r="AU2" s="921"/>
      <c r="AV2" s="921"/>
      <c r="AW2" s="921"/>
      <c r="AX2" s="921"/>
      <c r="AY2" s="921"/>
      <c r="AZ2" s="20"/>
      <c r="BA2" s="20"/>
      <c r="BB2" s="20"/>
      <c r="BC2" s="20"/>
      <c r="BD2" s="20"/>
      <c r="BE2" s="27"/>
      <c r="BI2" s="111"/>
      <c r="BJ2" s="111"/>
    </row>
    <row r="3" spans="1:93" ht="15.75" x14ac:dyDescent="0.25">
      <c r="D3" s="922" t="s">
        <v>400</v>
      </c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2"/>
      <c r="W3" s="922"/>
      <c r="X3" s="922"/>
      <c r="Y3" s="922"/>
      <c r="Z3" s="922"/>
      <c r="AA3" s="922"/>
      <c r="AB3" s="922"/>
      <c r="AC3" s="922"/>
      <c r="AD3" s="922"/>
      <c r="AE3" s="922"/>
      <c r="AF3" s="922"/>
      <c r="AG3" s="922"/>
      <c r="AH3" s="922"/>
      <c r="AI3" s="922"/>
      <c r="AJ3" s="922"/>
      <c r="AK3" s="922"/>
      <c r="AL3" s="922"/>
      <c r="AM3" s="922"/>
      <c r="AN3" s="922"/>
      <c r="AO3" s="922"/>
      <c r="AP3" s="922"/>
      <c r="AQ3" s="922"/>
      <c r="AR3" s="922"/>
      <c r="AS3" s="922"/>
      <c r="AT3" s="922"/>
      <c r="AU3" s="922"/>
      <c r="AV3" s="922"/>
      <c r="AW3" s="922"/>
      <c r="AX3" s="922"/>
      <c r="AY3" s="922"/>
      <c r="AZ3" s="21"/>
      <c r="BA3" s="21"/>
      <c r="BB3" s="170"/>
      <c r="BC3" s="170"/>
      <c r="BD3" s="170"/>
      <c r="BE3" s="27"/>
      <c r="BI3" s="111"/>
      <c r="BJ3" s="111"/>
      <c r="BR3" s="111"/>
      <c r="BS3" s="111"/>
      <c r="BT3" s="111"/>
      <c r="BU3" s="111"/>
    </row>
    <row r="4" spans="1:93" ht="13.5" customHeight="1" x14ac:dyDescent="0.25">
      <c r="AO4" s="143" t="s">
        <v>449</v>
      </c>
      <c r="AQ4" s="143" t="s">
        <v>450</v>
      </c>
      <c r="BB4" s="171"/>
      <c r="BC4" s="171"/>
      <c r="BD4" s="171"/>
      <c r="BE4" s="27"/>
      <c r="BI4" s="111"/>
      <c r="BJ4" s="111"/>
      <c r="BR4" s="111"/>
      <c r="BS4" s="111"/>
      <c r="BT4" s="111"/>
      <c r="BU4" s="111"/>
    </row>
    <row r="5" spans="1:93" ht="54" customHeight="1" x14ac:dyDescent="0.25">
      <c r="A5" s="923" t="s">
        <v>0</v>
      </c>
      <c r="B5" s="905"/>
      <c r="C5" s="923" t="s">
        <v>130</v>
      </c>
      <c r="D5" s="923" t="s">
        <v>43</v>
      </c>
      <c r="E5" s="905" t="s">
        <v>44</v>
      </c>
      <c r="F5" s="923" t="s">
        <v>45</v>
      </c>
      <c r="G5" s="923" t="s">
        <v>46</v>
      </c>
      <c r="H5" s="888" t="s">
        <v>1</v>
      </c>
      <c r="I5" s="924" t="s">
        <v>241</v>
      </c>
      <c r="J5" s="924"/>
      <c r="K5" s="925" t="s">
        <v>265</v>
      </c>
      <c r="L5" s="926"/>
      <c r="M5" s="925" t="s">
        <v>394</v>
      </c>
      <c r="N5" s="926"/>
      <c r="O5" s="925" t="s">
        <v>395</v>
      </c>
      <c r="P5" s="926"/>
      <c r="Q5" s="915" t="s">
        <v>242</v>
      </c>
      <c r="R5" s="915"/>
      <c r="S5" s="925" t="s">
        <v>334</v>
      </c>
      <c r="T5" s="926"/>
      <c r="U5" s="865" t="s">
        <v>224</v>
      </c>
      <c r="V5" s="866"/>
      <c r="W5" s="865" t="s">
        <v>225</v>
      </c>
      <c r="X5" s="866"/>
      <c r="Y5" s="865" t="s">
        <v>240</v>
      </c>
      <c r="Z5" s="866"/>
      <c r="AA5" s="865" t="s">
        <v>397</v>
      </c>
      <c r="AB5" s="866"/>
      <c r="AC5" s="865" t="s">
        <v>398</v>
      </c>
      <c r="AD5" s="866"/>
      <c r="AE5" s="865" t="s">
        <v>328</v>
      </c>
      <c r="AF5" s="866"/>
      <c r="AG5" s="865" t="s">
        <v>399</v>
      </c>
      <c r="AH5" s="866"/>
      <c r="AI5" s="865" t="s">
        <v>186</v>
      </c>
      <c r="AJ5" s="866"/>
      <c r="AK5" s="865" t="s">
        <v>247</v>
      </c>
      <c r="AL5" s="866"/>
      <c r="AM5" s="865" t="s">
        <v>243</v>
      </c>
      <c r="AN5" s="866"/>
      <c r="AO5" s="867" t="s">
        <v>305</v>
      </c>
      <c r="AP5" s="867"/>
      <c r="AQ5" s="868" t="s">
        <v>233</v>
      </c>
      <c r="AR5" s="881" t="s">
        <v>241</v>
      </c>
      <c r="AS5" s="877" t="s">
        <v>242</v>
      </c>
      <c r="AT5" s="862" t="s">
        <v>224</v>
      </c>
      <c r="AU5" s="862" t="s">
        <v>251</v>
      </c>
      <c r="AV5" s="862" t="s">
        <v>3</v>
      </c>
      <c r="AW5" s="862" t="s">
        <v>249</v>
      </c>
      <c r="AX5" s="873" t="s">
        <v>419</v>
      </c>
      <c r="AY5" s="875" t="s">
        <v>198</v>
      </c>
      <c r="AZ5" s="875" t="s">
        <v>410</v>
      </c>
      <c r="BA5" s="862" t="s">
        <v>250</v>
      </c>
      <c r="BB5" s="877" t="s">
        <v>240</v>
      </c>
      <c r="BC5" s="879" t="s">
        <v>189</v>
      </c>
      <c r="BD5" s="881" t="s">
        <v>409</v>
      </c>
      <c r="BE5" s="877" t="s">
        <v>203</v>
      </c>
      <c r="BF5" s="882" t="s">
        <v>275</v>
      </c>
      <c r="BG5" s="872" t="s">
        <v>411</v>
      </c>
      <c r="BH5" s="870" t="s">
        <v>412</v>
      </c>
      <c r="BI5" s="870" t="s">
        <v>413</v>
      </c>
      <c r="BJ5" s="870" t="s">
        <v>414</v>
      </c>
      <c r="BK5" s="870" t="s">
        <v>406</v>
      </c>
      <c r="BL5" s="870" t="s">
        <v>407</v>
      </c>
      <c r="BM5" s="870" t="s">
        <v>339</v>
      </c>
      <c r="BN5" s="888" t="s">
        <v>408</v>
      </c>
      <c r="BO5" s="888" t="s">
        <v>415</v>
      </c>
      <c r="BP5" s="888" t="s">
        <v>227</v>
      </c>
      <c r="BQ5" s="928" t="s">
        <v>367</v>
      </c>
      <c r="BR5" s="111"/>
      <c r="BS5" s="111"/>
      <c r="BT5" s="111"/>
      <c r="BU5" s="111"/>
    </row>
    <row r="6" spans="1:93" ht="72.75" customHeight="1" x14ac:dyDescent="0.25">
      <c r="A6" s="923"/>
      <c r="B6" s="906"/>
      <c r="C6" s="923"/>
      <c r="D6" s="923"/>
      <c r="E6" s="906"/>
      <c r="F6" s="923"/>
      <c r="G6" s="923"/>
      <c r="H6" s="889"/>
      <c r="I6" s="82" t="s">
        <v>4</v>
      </c>
      <c r="J6" s="424" t="s">
        <v>5</v>
      </c>
      <c r="K6" s="82" t="s">
        <v>4</v>
      </c>
      <c r="L6" s="424" t="s">
        <v>5</v>
      </c>
      <c r="M6" s="82" t="s">
        <v>4</v>
      </c>
      <c r="N6" s="424" t="s">
        <v>5</v>
      </c>
      <c r="O6" s="82" t="s">
        <v>4</v>
      </c>
      <c r="P6" s="424" t="s">
        <v>5</v>
      </c>
      <c r="Q6" s="82" t="s">
        <v>4</v>
      </c>
      <c r="R6" s="424" t="s">
        <v>5</v>
      </c>
      <c r="S6" s="82" t="s">
        <v>4</v>
      </c>
      <c r="T6" s="440" t="s">
        <v>5</v>
      </c>
      <c r="U6" s="82" t="s">
        <v>4</v>
      </c>
      <c r="V6" s="476" t="s">
        <v>5</v>
      </c>
      <c r="W6" s="82" t="s">
        <v>4</v>
      </c>
      <c r="X6" s="676" t="s">
        <v>5</v>
      </c>
      <c r="Y6" s="82" t="s">
        <v>4</v>
      </c>
      <c r="Z6" s="676" t="s">
        <v>5</v>
      </c>
      <c r="AA6" s="82" t="s">
        <v>4</v>
      </c>
      <c r="AB6" s="676" t="s">
        <v>5</v>
      </c>
      <c r="AC6" s="686" t="s">
        <v>4</v>
      </c>
      <c r="AD6" s="685" t="s">
        <v>5</v>
      </c>
      <c r="AE6" s="686" t="s">
        <v>4</v>
      </c>
      <c r="AF6" s="685" t="s">
        <v>5</v>
      </c>
      <c r="AG6" s="686" t="s">
        <v>4</v>
      </c>
      <c r="AH6" s="685" t="s">
        <v>5</v>
      </c>
      <c r="AI6" s="686" t="s">
        <v>4</v>
      </c>
      <c r="AJ6" s="685" t="s">
        <v>5</v>
      </c>
      <c r="AK6" s="82" t="s">
        <v>4</v>
      </c>
      <c r="AL6" s="684" t="s">
        <v>5</v>
      </c>
      <c r="AM6" s="82" t="s">
        <v>4</v>
      </c>
      <c r="AN6" s="684" t="s">
        <v>5</v>
      </c>
      <c r="AO6" s="478" t="s">
        <v>4</v>
      </c>
      <c r="AP6" s="479" t="s">
        <v>5</v>
      </c>
      <c r="AQ6" s="869"/>
      <c r="AR6" s="881"/>
      <c r="AS6" s="878"/>
      <c r="AT6" s="863"/>
      <c r="AU6" s="864"/>
      <c r="AV6" s="863"/>
      <c r="AW6" s="863"/>
      <c r="AX6" s="874"/>
      <c r="AY6" s="876"/>
      <c r="AZ6" s="876"/>
      <c r="BA6" s="863"/>
      <c r="BB6" s="878"/>
      <c r="BC6" s="880"/>
      <c r="BD6" s="881"/>
      <c r="BE6" s="864"/>
      <c r="BF6" s="864"/>
      <c r="BG6" s="872"/>
      <c r="BH6" s="871"/>
      <c r="BI6" s="871"/>
      <c r="BJ6" s="871"/>
      <c r="BK6" s="871"/>
      <c r="BL6" s="871"/>
      <c r="BM6" s="871"/>
      <c r="BN6" s="889"/>
      <c r="BO6" s="889"/>
      <c r="BP6" s="889"/>
      <c r="BQ6" s="928"/>
      <c r="BR6" s="111"/>
      <c r="BS6" s="111"/>
      <c r="BT6" s="111"/>
      <c r="BU6" s="111"/>
    </row>
    <row r="7" spans="1:93" x14ac:dyDescent="0.25">
      <c r="A7" s="25">
        <v>1</v>
      </c>
      <c r="B7" s="206"/>
      <c r="C7" s="35" t="s">
        <v>99</v>
      </c>
      <c r="D7" s="273">
        <v>1960</v>
      </c>
      <c r="E7" s="273">
        <v>2</v>
      </c>
      <c r="F7" s="320">
        <v>16</v>
      </c>
      <c r="G7" s="321">
        <v>35</v>
      </c>
      <c r="H7" s="274">
        <v>636.4</v>
      </c>
      <c r="I7" s="274"/>
      <c r="J7" s="274"/>
      <c r="K7" s="274">
        <v>535.67999999999995</v>
      </c>
      <c r="L7" s="274">
        <v>1075.1600000000001</v>
      </c>
      <c r="M7" s="274">
        <v>142.5</v>
      </c>
      <c r="N7" s="274">
        <v>108.44</v>
      </c>
      <c r="O7" s="324">
        <v>410.94</v>
      </c>
      <c r="P7" s="324">
        <v>312.61</v>
      </c>
      <c r="Q7" s="324"/>
      <c r="R7" s="324"/>
      <c r="S7" s="324"/>
      <c r="T7" s="324"/>
      <c r="U7" s="324"/>
      <c r="V7" s="324">
        <v>290.52999999999997</v>
      </c>
      <c r="W7" s="324"/>
      <c r="X7" s="324">
        <v>3028.66</v>
      </c>
      <c r="Y7" s="324">
        <v>192.12</v>
      </c>
      <c r="Z7" s="324">
        <v>263.95999999999998</v>
      </c>
      <c r="AA7" s="324"/>
      <c r="AB7" s="324"/>
      <c r="AC7" s="324"/>
      <c r="AD7" s="324"/>
      <c r="AE7" s="324">
        <v>323.52</v>
      </c>
      <c r="AF7" s="324">
        <v>451.01</v>
      </c>
      <c r="AG7" s="324"/>
      <c r="AH7" s="324"/>
      <c r="AI7" s="324">
        <v>84683.44</v>
      </c>
      <c r="AJ7" s="324">
        <v>100217.19</v>
      </c>
      <c r="AK7" s="324">
        <f>AM43</f>
        <v>12742.000000000004</v>
      </c>
      <c r="AL7" s="324"/>
      <c r="AM7" s="324">
        <f>AI7-AK7</f>
        <v>71941.440000000002</v>
      </c>
      <c r="AN7" s="324">
        <f>AJ7/AI7*AM7</f>
        <v>85137.8848255763</v>
      </c>
      <c r="AO7" s="324">
        <f>AM7+AG7+AE7+AC7+AA7+Y7+W7+U7+S7+Q7+O7+M7+K7+I7</f>
        <v>73546.2</v>
      </c>
      <c r="AP7" s="324">
        <f>AN7+AH7+AF7+AD7+AB7+Z7+X7+V7+T7+R7+P7+N7+L7+J7</f>
        <v>90668.25482557631</v>
      </c>
      <c r="AQ7" s="433">
        <f>AR7+AS7+AT7+AU7+AV7+AW7+AX7+AY7+AZ7+BA7+BB7+BC7+BD7+BE7+BF7+BG7+BH7+BI7+BJ7+BK7+BL7+BM7+BN7+BO7+BP7</f>
        <v>75659.43241104226</v>
      </c>
      <c r="AR7" s="323"/>
      <c r="AS7" s="335"/>
      <c r="AT7" s="324">
        <v>456.17</v>
      </c>
      <c r="AU7" s="335">
        <v>3784.26</v>
      </c>
      <c r="AV7" s="335">
        <v>29260.77</v>
      </c>
      <c r="AW7" s="335">
        <v>11835.52</v>
      </c>
      <c r="AX7" s="324">
        <f>31928.65/37786.48*H7</f>
        <v>537.74241104225632</v>
      </c>
      <c r="AY7" s="324">
        <v>458.65</v>
      </c>
      <c r="AZ7" s="324">
        <v>122.53</v>
      </c>
      <c r="BA7" s="324">
        <v>343.8</v>
      </c>
      <c r="BB7" s="324">
        <v>32.56</v>
      </c>
      <c r="BC7" s="324">
        <v>25470.39</v>
      </c>
      <c r="BD7" s="324">
        <v>150.52000000000001</v>
      </c>
      <c r="BE7" s="335">
        <v>2753.93</v>
      </c>
      <c r="BF7" s="335"/>
      <c r="BG7" s="335">
        <v>41.51</v>
      </c>
      <c r="BH7" s="335"/>
      <c r="BI7" s="335">
        <v>134.12</v>
      </c>
      <c r="BJ7" s="483"/>
      <c r="BK7" s="484">
        <v>205.77</v>
      </c>
      <c r="BL7" s="484">
        <v>71.19</v>
      </c>
      <c r="BM7" s="484"/>
      <c r="BN7" s="485"/>
      <c r="BO7" s="484"/>
      <c r="BP7" s="484"/>
      <c r="BQ7" s="725">
        <f>AO7-AQ7</f>
        <v>-2113.2324110422633</v>
      </c>
      <c r="BR7" s="111"/>
      <c r="BS7" s="111"/>
      <c r="BT7" s="111"/>
      <c r="BU7" s="111"/>
    </row>
    <row r="8" spans="1:93" x14ac:dyDescent="0.25">
      <c r="A8" s="25">
        <v>2</v>
      </c>
      <c r="B8" s="206"/>
      <c r="C8" s="35" t="s">
        <v>100</v>
      </c>
      <c r="D8" s="273">
        <v>1960</v>
      </c>
      <c r="E8" s="273">
        <v>2</v>
      </c>
      <c r="F8" s="320">
        <v>16</v>
      </c>
      <c r="G8" s="321">
        <v>27</v>
      </c>
      <c r="H8" s="274">
        <v>647.79999999999995</v>
      </c>
      <c r="I8" s="274"/>
      <c r="J8" s="274"/>
      <c r="K8" s="274">
        <v>535.67999999999995</v>
      </c>
      <c r="L8" s="274">
        <v>537.85</v>
      </c>
      <c r="M8" s="274">
        <v>142.08000000000001</v>
      </c>
      <c r="N8" s="274">
        <v>91.47</v>
      </c>
      <c r="O8" s="324">
        <v>411.06</v>
      </c>
      <c r="P8" s="324">
        <v>264.70999999999998</v>
      </c>
      <c r="Q8" s="324"/>
      <c r="R8" s="324"/>
      <c r="S8" s="324"/>
      <c r="T8" s="324"/>
      <c r="U8" s="324"/>
      <c r="V8" s="324">
        <v>24.23</v>
      </c>
      <c r="W8" s="324"/>
      <c r="X8" s="324">
        <v>270.82</v>
      </c>
      <c r="Y8" s="324">
        <v>192.3</v>
      </c>
      <c r="Z8" s="324">
        <v>157.83000000000001</v>
      </c>
      <c r="AA8" s="324"/>
      <c r="AB8" s="324"/>
      <c r="AC8" s="324"/>
      <c r="AD8" s="324"/>
      <c r="AE8" s="324">
        <v>323.22000000000003</v>
      </c>
      <c r="AF8" s="324">
        <v>259</v>
      </c>
      <c r="AG8" s="324"/>
      <c r="AH8" s="324"/>
      <c r="AI8" s="324">
        <v>86076.76</v>
      </c>
      <c r="AJ8" s="324">
        <v>66522.41</v>
      </c>
      <c r="AK8" s="324">
        <f t="shared" ref="AK8:AK33" si="0">AM44</f>
        <v>12940</v>
      </c>
      <c r="AL8" s="324"/>
      <c r="AM8" s="324">
        <f t="shared" ref="AM8:AM33" si="1">AI8-AK8</f>
        <v>73136.759999999995</v>
      </c>
      <c r="AN8" s="324">
        <f t="shared" ref="AN8:AN33" si="2">AJ8/AI8*AM8</f>
        <v>56522.033761396226</v>
      </c>
      <c r="AO8" s="324">
        <f t="shared" ref="AO8:AO33" si="3">AM8+AG8+AE8+AC8+AA8+Y8+W8+U8+S8+Q8+O8+M8+K8+I8</f>
        <v>74741.099999999991</v>
      </c>
      <c r="AP8" s="324">
        <f t="shared" ref="AP8:AP33" si="4">AN8+AH8+AF8+AD8+AB8+Z8+X8+V8+T8+R8+P8+N8+L8+J8</f>
        <v>58127.943761396229</v>
      </c>
      <c r="AQ8" s="433">
        <f t="shared" ref="AQ8:AQ33" si="5">AR8+AS8+AT8+AU8+AV8+AW8+AX8+AY8+AZ8+BA8+BB8+BC8+BD8+BE8+BF8+BG8+BH8+BI8+BJ8+BK8+BL8+BM8+BN8+BO8+BP8</f>
        <v>74798.795131793187</v>
      </c>
      <c r="AR8" s="323"/>
      <c r="AS8" s="335"/>
      <c r="AT8" s="324">
        <v>463.25</v>
      </c>
      <c r="AU8" s="335">
        <v>1823.76</v>
      </c>
      <c r="AV8" s="335">
        <v>29715.439999999999</v>
      </c>
      <c r="AW8" s="335">
        <v>12019.4</v>
      </c>
      <c r="AX8" s="324">
        <f t="shared" ref="AX8:AX33" si="6">31928.65/37786.48*H8</f>
        <v>547.37513179317045</v>
      </c>
      <c r="AY8" s="324">
        <v>465.78</v>
      </c>
      <c r="AZ8" s="324">
        <v>124.43</v>
      </c>
      <c r="BA8" s="324">
        <v>343.8</v>
      </c>
      <c r="BB8" s="324">
        <v>32.58</v>
      </c>
      <c r="BC8" s="324">
        <v>25866.18</v>
      </c>
      <c r="BD8" s="324">
        <v>152.86000000000001</v>
      </c>
      <c r="BE8" s="335">
        <v>2796.75</v>
      </c>
      <c r="BF8" s="335"/>
      <c r="BG8" s="335">
        <v>34.020000000000003</v>
      </c>
      <c r="BH8" s="335"/>
      <c r="BI8" s="335">
        <v>136.21</v>
      </c>
      <c r="BJ8" s="483"/>
      <c r="BK8" s="484">
        <v>205.77</v>
      </c>
      <c r="BL8" s="484">
        <v>71.19</v>
      </c>
      <c r="BM8" s="484"/>
      <c r="BN8" s="485"/>
      <c r="BO8" s="484"/>
      <c r="BP8" s="484"/>
      <c r="BQ8" s="725">
        <f t="shared" ref="BQ8:BQ33" si="7">AO8-AQ8</f>
        <v>-57.695131793196197</v>
      </c>
      <c r="BR8" s="111"/>
      <c r="BS8" s="111"/>
      <c r="BT8" s="111"/>
      <c r="BU8" s="111"/>
    </row>
    <row r="9" spans="1:93" x14ac:dyDescent="0.25">
      <c r="A9" s="25">
        <v>3</v>
      </c>
      <c r="B9" s="206"/>
      <c r="C9" s="35" t="s">
        <v>101</v>
      </c>
      <c r="D9" s="273">
        <v>1960</v>
      </c>
      <c r="E9" s="273">
        <v>2</v>
      </c>
      <c r="F9" s="320">
        <v>16</v>
      </c>
      <c r="G9" s="321">
        <v>27</v>
      </c>
      <c r="H9" s="274">
        <v>641</v>
      </c>
      <c r="I9" s="274"/>
      <c r="J9" s="274"/>
      <c r="K9" s="274">
        <v>535.91999999999996</v>
      </c>
      <c r="L9" s="274">
        <v>641.83000000000004</v>
      </c>
      <c r="M9" s="274">
        <v>142.44</v>
      </c>
      <c r="N9" s="274">
        <v>114.71</v>
      </c>
      <c r="O9" s="324">
        <v>411.18</v>
      </c>
      <c r="P9" s="324">
        <v>331.16</v>
      </c>
      <c r="Q9" s="324"/>
      <c r="R9" s="324"/>
      <c r="S9" s="324"/>
      <c r="T9" s="324"/>
      <c r="U9" s="324"/>
      <c r="V9" s="324"/>
      <c r="W9" s="324"/>
      <c r="X9" s="324"/>
      <c r="Y9" s="324">
        <v>192.36</v>
      </c>
      <c r="Z9" s="324">
        <v>191.94</v>
      </c>
      <c r="AA9" s="324"/>
      <c r="AB9" s="324"/>
      <c r="AC9" s="324"/>
      <c r="AD9" s="324"/>
      <c r="AE9" s="324">
        <v>323.10000000000002</v>
      </c>
      <c r="AF9" s="324">
        <v>319.62</v>
      </c>
      <c r="AG9" s="324"/>
      <c r="AH9" s="324"/>
      <c r="AI9" s="324">
        <v>88150.33</v>
      </c>
      <c r="AJ9" s="324">
        <v>83857.02</v>
      </c>
      <c r="AK9" s="324">
        <f t="shared" si="0"/>
        <v>15768.5</v>
      </c>
      <c r="AL9" s="324"/>
      <c r="AM9" s="324">
        <f t="shared" si="1"/>
        <v>72381.83</v>
      </c>
      <c r="AN9" s="324">
        <f t="shared" si="2"/>
        <v>68856.515522365036</v>
      </c>
      <c r="AO9" s="324">
        <f t="shared" si="3"/>
        <v>73986.83</v>
      </c>
      <c r="AP9" s="324">
        <f t="shared" si="4"/>
        <v>70455.775522365046</v>
      </c>
      <c r="AQ9" s="433">
        <f t="shared" si="5"/>
        <v>73099.089298362815</v>
      </c>
      <c r="AR9" s="323"/>
      <c r="AS9" s="335"/>
      <c r="AT9" s="324">
        <v>458.94</v>
      </c>
      <c r="AU9" s="335">
        <v>795.37</v>
      </c>
      <c r="AV9" s="335">
        <v>29439.85</v>
      </c>
      <c r="AW9" s="335">
        <v>11907.94</v>
      </c>
      <c r="AX9" s="324">
        <f t="shared" si="6"/>
        <v>541.62929836280068</v>
      </c>
      <c r="AY9" s="324">
        <v>461.46</v>
      </c>
      <c r="AZ9" s="324">
        <v>123.28</v>
      </c>
      <c r="BA9" s="324">
        <v>343.8</v>
      </c>
      <c r="BB9" s="324">
        <v>32.659999999999997</v>
      </c>
      <c r="BC9" s="324">
        <v>25626.3</v>
      </c>
      <c r="BD9" s="324">
        <v>151.44</v>
      </c>
      <c r="BE9" s="335">
        <v>2770.82</v>
      </c>
      <c r="BF9" s="335"/>
      <c r="BG9" s="335">
        <v>33.700000000000003</v>
      </c>
      <c r="BH9" s="335"/>
      <c r="BI9" s="335">
        <v>134.94</v>
      </c>
      <c r="BJ9" s="483"/>
      <c r="BK9" s="484">
        <v>205.77</v>
      </c>
      <c r="BL9" s="484">
        <v>71.19</v>
      </c>
      <c r="BM9" s="484"/>
      <c r="BN9" s="485"/>
      <c r="BO9" s="484"/>
      <c r="BP9" s="484"/>
      <c r="BQ9" s="725">
        <f t="shared" si="7"/>
        <v>887.74070163718716</v>
      </c>
      <c r="BR9" s="111"/>
      <c r="BS9" s="111"/>
      <c r="BT9" s="111"/>
      <c r="BU9" s="111"/>
    </row>
    <row r="10" spans="1:93" x14ac:dyDescent="0.25">
      <c r="A10" s="25">
        <v>4</v>
      </c>
      <c r="B10" s="206"/>
      <c r="C10" s="35" t="s">
        <v>102</v>
      </c>
      <c r="D10" s="273">
        <v>1960</v>
      </c>
      <c r="E10" s="273">
        <v>2</v>
      </c>
      <c r="F10" s="320">
        <v>16</v>
      </c>
      <c r="G10" s="321">
        <v>27</v>
      </c>
      <c r="H10" s="274">
        <v>634</v>
      </c>
      <c r="I10" s="274"/>
      <c r="J10" s="274"/>
      <c r="K10" s="274">
        <v>535.86</v>
      </c>
      <c r="L10" s="274">
        <v>633.14</v>
      </c>
      <c r="M10" s="274">
        <v>142.38</v>
      </c>
      <c r="N10" s="274">
        <v>98.77</v>
      </c>
      <c r="O10" s="324">
        <v>411.12</v>
      </c>
      <c r="P10" s="324">
        <v>285.19</v>
      </c>
      <c r="Q10" s="324"/>
      <c r="R10" s="324"/>
      <c r="S10" s="324"/>
      <c r="T10" s="324"/>
      <c r="U10" s="324"/>
      <c r="V10" s="324">
        <v>41.68</v>
      </c>
      <c r="W10" s="324"/>
      <c r="X10" s="324">
        <v>435.49</v>
      </c>
      <c r="Y10" s="324">
        <v>192.42</v>
      </c>
      <c r="Z10" s="324">
        <v>180.67</v>
      </c>
      <c r="AA10" s="324"/>
      <c r="AB10" s="324"/>
      <c r="AC10" s="324"/>
      <c r="AD10" s="324"/>
      <c r="AE10" s="324">
        <v>323.27999999999997</v>
      </c>
      <c r="AF10" s="324">
        <v>302.93</v>
      </c>
      <c r="AG10" s="324"/>
      <c r="AH10" s="324"/>
      <c r="AI10" s="324">
        <v>84536.88</v>
      </c>
      <c r="AJ10" s="324">
        <v>76018.98</v>
      </c>
      <c r="AK10" s="324">
        <f t="shared" si="0"/>
        <v>12720</v>
      </c>
      <c r="AL10" s="324"/>
      <c r="AM10" s="324">
        <f t="shared" si="1"/>
        <v>71816.88</v>
      </c>
      <c r="AN10" s="324">
        <f t="shared" si="2"/>
        <v>64580.641778859121</v>
      </c>
      <c r="AO10" s="324">
        <f t="shared" si="3"/>
        <v>73421.94</v>
      </c>
      <c r="AP10" s="324">
        <f t="shared" si="4"/>
        <v>66558.511778859116</v>
      </c>
      <c r="AQ10" s="433">
        <f t="shared" si="5"/>
        <v>72158.134469831552</v>
      </c>
      <c r="AR10" s="323"/>
      <c r="AS10" s="335"/>
      <c r="AT10" s="324">
        <v>455.37</v>
      </c>
      <c r="AU10" s="335">
        <v>415.04</v>
      </c>
      <c r="AV10" s="335">
        <v>29210.22</v>
      </c>
      <c r="AW10" s="335">
        <v>11815.05</v>
      </c>
      <c r="AX10" s="324">
        <f t="shared" si="6"/>
        <v>535.7144698315376</v>
      </c>
      <c r="AY10" s="324">
        <v>457.86</v>
      </c>
      <c r="AZ10" s="324">
        <v>122.32</v>
      </c>
      <c r="BA10" s="324">
        <v>343.8</v>
      </c>
      <c r="BB10" s="324">
        <v>32.619999999999997</v>
      </c>
      <c r="BC10" s="324">
        <v>25426.400000000001</v>
      </c>
      <c r="BD10" s="324">
        <v>150.26</v>
      </c>
      <c r="BE10" s="335">
        <v>2749.19</v>
      </c>
      <c r="BF10" s="335"/>
      <c r="BG10" s="335">
        <v>33.44</v>
      </c>
      <c r="BH10" s="335"/>
      <c r="BI10" s="335">
        <v>133.88999999999999</v>
      </c>
      <c r="BJ10" s="483"/>
      <c r="BK10" s="484">
        <v>205.77</v>
      </c>
      <c r="BL10" s="484">
        <v>71.19</v>
      </c>
      <c r="BM10" s="484"/>
      <c r="BN10" s="485"/>
      <c r="BO10" s="484"/>
      <c r="BP10" s="484"/>
      <c r="BQ10" s="725">
        <f t="shared" si="7"/>
        <v>1263.8055301684508</v>
      </c>
      <c r="BR10" s="111"/>
      <c r="BS10" s="111"/>
      <c r="BT10" s="111"/>
      <c r="BU10" s="111"/>
    </row>
    <row r="11" spans="1:93" x14ac:dyDescent="0.25">
      <c r="A11" s="25">
        <v>5</v>
      </c>
      <c r="B11" s="206"/>
      <c r="C11" s="35" t="s">
        <v>103</v>
      </c>
      <c r="D11" s="273">
        <v>1960</v>
      </c>
      <c r="E11" s="273">
        <v>2</v>
      </c>
      <c r="F11" s="320">
        <v>16</v>
      </c>
      <c r="G11" s="321">
        <v>22</v>
      </c>
      <c r="H11" s="274">
        <v>632.20000000000005</v>
      </c>
      <c r="I11" s="274"/>
      <c r="J11" s="274"/>
      <c r="K11" s="274">
        <v>535.67999999999995</v>
      </c>
      <c r="L11" s="274">
        <v>651.26</v>
      </c>
      <c r="M11" s="274">
        <v>142.26</v>
      </c>
      <c r="N11" s="274">
        <v>126.35</v>
      </c>
      <c r="O11" s="324">
        <v>411.18</v>
      </c>
      <c r="P11" s="324">
        <v>365.23</v>
      </c>
      <c r="Q11" s="324"/>
      <c r="R11" s="324"/>
      <c r="S11" s="324"/>
      <c r="T11" s="324"/>
      <c r="U11" s="324"/>
      <c r="V11" s="324">
        <v>0.36</v>
      </c>
      <c r="W11" s="324"/>
      <c r="X11" s="324">
        <v>3.99</v>
      </c>
      <c r="Y11" s="324">
        <v>192.36</v>
      </c>
      <c r="Z11" s="324">
        <v>201.86</v>
      </c>
      <c r="AA11" s="324"/>
      <c r="AB11" s="324"/>
      <c r="AC11" s="324"/>
      <c r="AD11" s="324"/>
      <c r="AE11" s="324">
        <v>323.10000000000002</v>
      </c>
      <c r="AF11" s="324">
        <v>336.69</v>
      </c>
      <c r="AG11" s="324"/>
      <c r="AH11" s="324"/>
      <c r="AI11" s="324">
        <v>83872.639999999999</v>
      </c>
      <c r="AJ11" s="324">
        <v>84473.22</v>
      </c>
      <c r="AK11" s="324">
        <f t="shared" si="0"/>
        <v>12620</v>
      </c>
      <c r="AL11" s="324"/>
      <c r="AM11" s="324">
        <f t="shared" si="1"/>
        <v>71252.639999999999</v>
      </c>
      <c r="AN11" s="324">
        <f t="shared" si="2"/>
        <v>71762.852991163745</v>
      </c>
      <c r="AO11" s="324">
        <f t="shared" si="3"/>
        <v>72857.219999999987</v>
      </c>
      <c r="AP11" s="324">
        <f t="shared" si="4"/>
        <v>73448.59299116375</v>
      </c>
      <c r="AQ11" s="433">
        <f t="shared" si="5"/>
        <v>71808.233513923507</v>
      </c>
      <c r="AR11" s="323"/>
      <c r="AS11" s="335"/>
      <c r="AT11" s="324">
        <v>451.79</v>
      </c>
      <c r="AU11" s="335">
        <v>613.34</v>
      </c>
      <c r="AV11" s="335">
        <v>28980.58</v>
      </c>
      <c r="AW11" s="335">
        <v>11722.18</v>
      </c>
      <c r="AX11" s="324">
        <f t="shared" si="6"/>
        <v>534.19351392349859</v>
      </c>
      <c r="AY11" s="324">
        <v>454.26</v>
      </c>
      <c r="AZ11" s="324">
        <v>121.35</v>
      </c>
      <c r="BA11" s="324">
        <v>343.8</v>
      </c>
      <c r="BB11" s="324">
        <v>32.6</v>
      </c>
      <c r="BC11" s="324">
        <v>25226.51</v>
      </c>
      <c r="BD11" s="324">
        <v>149.08000000000001</v>
      </c>
      <c r="BE11" s="335">
        <v>2727.57</v>
      </c>
      <c r="BF11" s="335"/>
      <c r="BG11" s="335">
        <v>41.18</v>
      </c>
      <c r="BH11" s="335"/>
      <c r="BI11" s="335">
        <v>132.84</v>
      </c>
      <c r="BJ11" s="483"/>
      <c r="BK11" s="484">
        <v>205.77</v>
      </c>
      <c r="BL11" s="484">
        <v>71.19</v>
      </c>
      <c r="BM11" s="484"/>
      <c r="BN11" s="485"/>
      <c r="BO11" s="484"/>
      <c r="BP11" s="484"/>
      <c r="BQ11" s="725">
        <f t="shared" si="7"/>
        <v>1048.9864860764792</v>
      </c>
      <c r="BR11" s="111"/>
      <c r="BS11" s="111"/>
      <c r="BT11" s="111"/>
      <c r="BU11" s="111"/>
    </row>
    <row r="12" spans="1:93" x14ac:dyDescent="0.25">
      <c r="A12" s="25">
        <v>6</v>
      </c>
      <c r="B12" s="206"/>
      <c r="C12" s="35" t="s">
        <v>104</v>
      </c>
      <c r="D12" s="273">
        <v>1966</v>
      </c>
      <c r="E12" s="258">
        <v>3</v>
      </c>
      <c r="F12" s="274">
        <v>36</v>
      </c>
      <c r="G12" s="322">
        <v>65</v>
      </c>
      <c r="H12" s="274">
        <v>1460.92</v>
      </c>
      <c r="I12" s="274"/>
      <c r="J12" s="274"/>
      <c r="K12" s="274">
        <v>5782.2</v>
      </c>
      <c r="L12" s="274">
        <v>6569.13</v>
      </c>
      <c r="M12" s="274">
        <v>1536.48</v>
      </c>
      <c r="N12" s="274">
        <v>1046.1400000000001</v>
      </c>
      <c r="O12" s="324">
        <v>4436.5200000000004</v>
      </c>
      <c r="P12" s="324">
        <v>3020.77</v>
      </c>
      <c r="Q12" s="324"/>
      <c r="R12" s="324"/>
      <c r="S12" s="324"/>
      <c r="T12" s="324">
        <v>2462.29</v>
      </c>
      <c r="U12" s="324"/>
      <c r="V12" s="324">
        <v>108.86</v>
      </c>
      <c r="W12" s="324"/>
      <c r="X12" s="324">
        <v>1233.3599999999999</v>
      </c>
      <c r="Y12" s="324">
        <v>1548.63</v>
      </c>
      <c r="Z12" s="324">
        <v>1613.53</v>
      </c>
      <c r="AA12" s="324"/>
      <c r="AB12" s="324"/>
      <c r="AC12" s="324"/>
      <c r="AD12" s="324"/>
      <c r="AE12" s="324"/>
      <c r="AF12" s="324">
        <v>240.88</v>
      </c>
      <c r="AG12" s="324">
        <v>2222.14</v>
      </c>
      <c r="AH12" s="324">
        <v>1923.98</v>
      </c>
      <c r="AI12" s="324">
        <v>276167.8</v>
      </c>
      <c r="AJ12" s="324">
        <v>238394.08</v>
      </c>
      <c r="AK12" s="324">
        <f t="shared" si="0"/>
        <v>29712</v>
      </c>
      <c r="AL12" s="324"/>
      <c r="AM12" s="324">
        <f t="shared" si="1"/>
        <v>246455.8</v>
      </c>
      <c r="AN12" s="324">
        <f t="shared" si="2"/>
        <v>212746.0323095741</v>
      </c>
      <c r="AO12" s="324">
        <f t="shared" si="3"/>
        <v>261981.77000000002</v>
      </c>
      <c r="AP12" s="324">
        <f t="shared" si="4"/>
        <v>230964.97230957411</v>
      </c>
      <c r="AQ12" s="433">
        <f t="shared" si="5"/>
        <v>241229.40161398466</v>
      </c>
      <c r="AR12" s="323"/>
      <c r="AS12" s="335"/>
      <c r="AT12" s="324">
        <v>1063.75</v>
      </c>
      <c r="AU12" s="335">
        <v>3451.05</v>
      </c>
      <c r="AV12" s="335">
        <v>68235.27</v>
      </c>
      <c r="AW12" s="335">
        <v>27597.59</v>
      </c>
      <c r="AX12" s="324">
        <f t="shared" si="6"/>
        <v>1234.4416139846844</v>
      </c>
      <c r="AY12" s="324">
        <v>1069.57</v>
      </c>
      <c r="AZ12" s="324">
        <v>285.73</v>
      </c>
      <c r="BA12" s="324">
        <v>2310.5500000000002</v>
      </c>
      <c r="BB12" s="324">
        <v>351.58</v>
      </c>
      <c r="BC12" s="324">
        <v>59396.25</v>
      </c>
      <c r="BD12" s="324">
        <v>351</v>
      </c>
      <c r="BE12" s="335">
        <v>6422.12</v>
      </c>
      <c r="BF12" s="335"/>
      <c r="BG12" s="335">
        <v>78.11</v>
      </c>
      <c r="BH12" s="335">
        <v>65854.929999999993</v>
      </c>
      <c r="BI12" s="335">
        <v>539.22</v>
      </c>
      <c r="BJ12" s="483"/>
      <c r="BK12" s="484">
        <v>2220.0300000000002</v>
      </c>
      <c r="BL12" s="484">
        <v>768.21</v>
      </c>
      <c r="BM12" s="484"/>
      <c r="BN12" s="485"/>
      <c r="BO12" s="484"/>
      <c r="BP12" s="484"/>
      <c r="BQ12" s="725">
        <f t="shared" si="7"/>
        <v>20752.368386015354</v>
      </c>
      <c r="BR12" s="111"/>
      <c r="BS12" s="111"/>
      <c r="BT12" s="111"/>
      <c r="BU12" s="111"/>
    </row>
    <row r="13" spans="1:93" x14ac:dyDescent="0.25">
      <c r="A13" s="25">
        <v>7</v>
      </c>
      <c r="B13" s="206"/>
      <c r="C13" s="35" t="s">
        <v>105</v>
      </c>
      <c r="D13" s="273">
        <v>1966</v>
      </c>
      <c r="E13" s="258">
        <v>3</v>
      </c>
      <c r="F13" s="274">
        <v>36</v>
      </c>
      <c r="G13" s="322">
        <v>68</v>
      </c>
      <c r="H13" s="274">
        <v>1486.39</v>
      </c>
      <c r="I13" s="274"/>
      <c r="J13" s="274"/>
      <c r="K13" s="274">
        <v>5782.44</v>
      </c>
      <c r="L13" s="274">
        <v>6515.85</v>
      </c>
      <c r="M13" s="274">
        <v>1536.42</v>
      </c>
      <c r="N13" s="274">
        <v>1148.74</v>
      </c>
      <c r="O13" s="324">
        <v>4436.3999999999996</v>
      </c>
      <c r="P13" s="324">
        <v>3316.93</v>
      </c>
      <c r="Q13" s="324"/>
      <c r="R13" s="324"/>
      <c r="S13" s="324"/>
      <c r="T13" s="324">
        <v>933.43</v>
      </c>
      <c r="U13" s="324"/>
      <c r="V13" s="324">
        <v>41.03</v>
      </c>
      <c r="W13" s="324"/>
      <c r="X13" s="324">
        <v>445.94</v>
      </c>
      <c r="Y13" s="324">
        <v>2076.06</v>
      </c>
      <c r="Z13" s="324">
        <v>1931.08</v>
      </c>
      <c r="AA13" s="324"/>
      <c r="AB13" s="324"/>
      <c r="AC13" s="324"/>
      <c r="AD13" s="324"/>
      <c r="AE13" s="324"/>
      <c r="AF13" s="324">
        <v>83.61</v>
      </c>
      <c r="AG13" s="324">
        <v>2291.83</v>
      </c>
      <c r="AH13" s="324">
        <v>2092.0500000000002</v>
      </c>
      <c r="AI13" s="324">
        <v>276750.03999999998</v>
      </c>
      <c r="AJ13" s="324">
        <v>253547.26</v>
      </c>
      <c r="AK13" s="324">
        <f t="shared" si="0"/>
        <v>29687.800000000003</v>
      </c>
      <c r="AL13" s="324"/>
      <c r="AM13" s="324">
        <f t="shared" si="1"/>
        <v>247062.24</v>
      </c>
      <c r="AN13" s="324">
        <f t="shared" si="2"/>
        <v>226348.49122862783</v>
      </c>
      <c r="AO13" s="324">
        <f t="shared" si="3"/>
        <v>263185.38999999996</v>
      </c>
      <c r="AP13" s="324">
        <f t="shared" si="4"/>
        <v>242857.15122862777</v>
      </c>
      <c r="AQ13" s="433">
        <f t="shared" si="5"/>
        <v>240570.49314008339</v>
      </c>
      <c r="AR13" s="323"/>
      <c r="AS13" s="335"/>
      <c r="AT13" s="324">
        <v>1062.8</v>
      </c>
      <c r="AU13" s="335">
        <v>2532.58</v>
      </c>
      <c r="AV13" s="335">
        <v>68175.100000000006</v>
      </c>
      <c r="AW13" s="335">
        <v>27575.67</v>
      </c>
      <c r="AX13" s="324">
        <f t="shared" si="6"/>
        <v>1255.9631400834373</v>
      </c>
      <c r="AY13" s="324">
        <v>1068.6300000000001</v>
      </c>
      <c r="AZ13" s="324">
        <v>285.48</v>
      </c>
      <c r="BA13" s="324">
        <v>2403.15</v>
      </c>
      <c r="BB13" s="324">
        <v>351.56</v>
      </c>
      <c r="BC13" s="324">
        <v>59343.88</v>
      </c>
      <c r="BD13" s="324">
        <v>350.69</v>
      </c>
      <c r="BE13" s="335">
        <v>6416.46</v>
      </c>
      <c r="BF13" s="335"/>
      <c r="BG13" s="335">
        <v>78.05</v>
      </c>
      <c r="BH13" s="335">
        <v>65854.91</v>
      </c>
      <c r="BI13" s="335">
        <v>827.33</v>
      </c>
      <c r="BJ13" s="483"/>
      <c r="BK13" s="484">
        <v>2220.0300000000002</v>
      </c>
      <c r="BL13" s="484">
        <v>768.21</v>
      </c>
      <c r="BM13" s="484"/>
      <c r="BN13" s="485"/>
      <c r="BO13" s="484"/>
      <c r="BP13" s="484"/>
      <c r="BQ13" s="725">
        <f t="shared" si="7"/>
        <v>22614.896859916567</v>
      </c>
      <c r="BR13" s="111"/>
      <c r="BS13" s="111"/>
      <c r="BT13" s="111"/>
      <c r="BU13" s="111"/>
    </row>
    <row r="14" spans="1:93" x14ac:dyDescent="0.25">
      <c r="A14" s="25">
        <v>8</v>
      </c>
      <c r="B14" s="206"/>
      <c r="C14" s="35" t="s">
        <v>106</v>
      </c>
      <c r="D14" s="273">
        <v>1955</v>
      </c>
      <c r="E14" s="258">
        <v>2</v>
      </c>
      <c r="F14" s="274">
        <v>12</v>
      </c>
      <c r="G14" s="322">
        <v>33</v>
      </c>
      <c r="H14" s="274">
        <v>797.5</v>
      </c>
      <c r="I14" s="274"/>
      <c r="J14" s="274"/>
      <c r="K14" s="274">
        <v>750.54</v>
      </c>
      <c r="L14" s="274">
        <v>822.81</v>
      </c>
      <c r="M14" s="274">
        <v>199.5</v>
      </c>
      <c r="N14" s="274">
        <v>155.61000000000001</v>
      </c>
      <c r="O14" s="324">
        <v>575.94000000000005</v>
      </c>
      <c r="P14" s="324">
        <v>449.16</v>
      </c>
      <c r="Q14" s="324"/>
      <c r="R14" s="324"/>
      <c r="S14" s="324"/>
      <c r="T14" s="324"/>
      <c r="U14" s="324"/>
      <c r="V14" s="324"/>
      <c r="W14" s="324"/>
      <c r="X14" s="324"/>
      <c r="Y14" s="324">
        <v>269.7</v>
      </c>
      <c r="Z14" s="324">
        <v>252.32</v>
      </c>
      <c r="AA14" s="324"/>
      <c r="AB14" s="324"/>
      <c r="AC14" s="324"/>
      <c r="AD14" s="324"/>
      <c r="AE14" s="324">
        <v>453</v>
      </c>
      <c r="AF14" s="324">
        <v>391.97</v>
      </c>
      <c r="AG14" s="324"/>
      <c r="AH14" s="324"/>
      <c r="AI14" s="324">
        <v>89648.16</v>
      </c>
      <c r="AJ14" s="324">
        <v>84869.96</v>
      </c>
      <c r="AK14" s="324">
        <f t="shared" si="0"/>
        <v>21958.45714285714</v>
      </c>
      <c r="AL14" s="324"/>
      <c r="AM14" s="324">
        <f t="shared" si="1"/>
        <v>67689.702857142867</v>
      </c>
      <c r="AN14" s="324">
        <f t="shared" si="2"/>
        <v>64081.877128293556</v>
      </c>
      <c r="AO14" s="324">
        <f t="shared" si="3"/>
        <v>69938.38285714286</v>
      </c>
      <c r="AP14" s="324">
        <f t="shared" si="4"/>
        <v>66153.747128293558</v>
      </c>
      <c r="AQ14" s="433">
        <f t="shared" si="5"/>
        <v>92363.157964811762</v>
      </c>
      <c r="AR14" s="323"/>
      <c r="AS14" s="335"/>
      <c r="AT14" s="324">
        <v>569.65</v>
      </c>
      <c r="AU14" s="335">
        <v>2513.23</v>
      </c>
      <c r="AV14" s="335">
        <v>36540.339999999997</v>
      </c>
      <c r="AW14" s="335">
        <v>14779.99</v>
      </c>
      <c r="AX14" s="324">
        <f t="shared" si="6"/>
        <v>673.86796481175281</v>
      </c>
      <c r="AY14" s="324">
        <v>572.76</v>
      </c>
      <c r="AZ14" s="324">
        <v>153.01</v>
      </c>
      <c r="BA14" s="324">
        <v>481.32</v>
      </c>
      <c r="BB14" s="324">
        <v>45.68</v>
      </c>
      <c r="BC14" s="324">
        <v>31807.01</v>
      </c>
      <c r="BD14" s="324">
        <v>187.96</v>
      </c>
      <c r="BE14" s="335">
        <v>3439.08</v>
      </c>
      <c r="BF14" s="335"/>
      <c r="BG14" s="335">
        <v>41.83</v>
      </c>
      <c r="BH14" s="335"/>
      <c r="BI14" s="335">
        <v>167.49</v>
      </c>
      <c r="BJ14" s="483"/>
      <c r="BK14" s="484">
        <v>290.22000000000003</v>
      </c>
      <c r="BL14" s="484">
        <v>99.72</v>
      </c>
      <c r="BM14" s="484"/>
      <c r="BN14" s="485"/>
      <c r="BO14" s="484"/>
      <c r="BP14" s="484"/>
      <c r="BQ14" s="725">
        <f t="shared" si="7"/>
        <v>-22424.775107668902</v>
      </c>
      <c r="BR14" s="111"/>
      <c r="BS14" s="111"/>
      <c r="BT14" s="111"/>
      <c r="BU14" s="111"/>
    </row>
    <row r="15" spans="1:93" x14ac:dyDescent="0.25">
      <c r="A15" s="25">
        <v>9</v>
      </c>
      <c r="B15" s="206"/>
      <c r="C15" s="35" t="s">
        <v>107</v>
      </c>
      <c r="D15" s="273">
        <v>1955</v>
      </c>
      <c r="E15" s="258">
        <v>2</v>
      </c>
      <c r="F15" s="274">
        <v>12</v>
      </c>
      <c r="G15" s="322">
        <v>31</v>
      </c>
      <c r="H15" s="274">
        <v>804</v>
      </c>
      <c r="I15" s="274"/>
      <c r="J15" s="274"/>
      <c r="K15" s="274">
        <v>750.48</v>
      </c>
      <c r="L15" s="274">
        <v>951.23</v>
      </c>
      <c r="M15" s="274">
        <v>199.44</v>
      </c>
      <c r="N15" s="274">
        <v>184.89</v>
      </c>
      <c r="O15" s="324">
        <v>575.88</v>
      </c>
      <c r="P15" s="324">
        <v>533.78</v>
      </c>
      <c r="Q15" s="324"/>
      <c r="R15" s="324"/>
      <c r="S15" s="324"/>
      <c r="T15" s="324"/>
      <c r="U15" s="324"/>
      <c r="V15" s="324"/>
      <c r="W15" s="324"/>
      <c r="X15" s="324"/>
      <c r="Y15" s="324">
        <v>269.58</v>
      </c>
      <c r="Z15" s="324">
        <v>294.93</v>
      </c>
      <c r="AA15" s="324"/>
      <c r="AB15" s="324"/>
      <c r="AC15" s="324"/>
      <c r="AD15" s="324"/>
      <c r="AE15" s="324">
        <v>452.82</v>
      </c>
      <c r="AF15" s="324">
        <v>493.71</v>
      </c>
      <c r="AG15" s="324"/>
      <c r="AH15" s="324"/>
      <c r="AI15" s="324">
        <v>89839.92</v>
      </c>
      <c r="AJ15" s="324">
        <v>96588.1</v>
      </c>
      <c r="AK15" s="324">
        <f t="shared" si="0"/>
        <v>22005.514285714278</v>
      </c>
      <c r="AL15" s="324"/>
      <c r="AM15" s="324">
        <f t="shared" si="1"/>
        <v>67834.40571428572</v>
      </c>
      <c r="AN15" s="324">
        <f t="shared" si="2"/>
        <v>72929.677169926246</v>
      </c>
      <c r="AO15" s="324">
        <f t="shared" si="3"/>
        <v>70082.605714285732</v>
      </c>
      <c r="AP15" s="324">
        <f t="shared" si="4"/>
        <v>75388.21716992624</v>
      </c>
      <c r="AQ15" s="433">
        <f t="shared" si="5"/>
        <v>90968.490305590793</v>
      </c>
      <c r="AR15" s="323"/>
      <c r="AS15" s="335"/>
      <c r="AT15" s="324">
        <v>570.86</v>
      </c>
      <c r="AU15" s="335">
        <v>924.55</v>
      </c>
      <c r="AV15" s="335">
        <v>36618.410000000003</v>
      </c>
      <c r="AW15" s="335">
        <v>14811.51</v>
      </c>
      <c r="AX15" s="324">
        <f t="shared" si="6"/>
        <v>679.36030559078267</v>
      </c>
      <c r="AY15" s="324">
        <v>573.98</v>
      </c>
      <c r="AZ15" s="324">
        <v>153.34</v>
      </c>
      <c r="BA15" s="324">
        <v>481.32</v>
      </c>
      <c r="BB15" s="324">
        <v>45.68</v>
      </c>
      <c r="BC15" s="324">
        <v>31874.97</v>
      </c>
      <c r="BD15" s="324">
        <v>188.36</v>
      </c>
      <c r="BE15" s="335">
        <v>3446.44</v>
      </c>
      <c r="BF15" s="335"/>
      <c r="BG15" s="335">
        <v>41.92</v>
      </c>
      <c r="BH15" s="335"/>
      <c r="BI15" s="335">
        <v>167.85</v>
      </c>
      <c r="BJ15" s="483"/>
      <c r="BK15" s="484">
        <v>290.22000000000003</v>
      </c>
      <c r="BL15" s="484">
        <v>99.72</v>
      </c>
      <c r="BM15" s="484"/>
      <c r="BN15" s="485"/>
      <c r="BO15" s="484"/>
      <c r="BP15" s="484"/>
      <c r="BQ15" s="725">
        <f t="shared" si="7"/>
        <v>-20885.884591305061</v>
      </c>
      <c r="BR15" s="111"/>
      <c r="BS15" s="111"/>
      <c r="BT15" s="111"/>
      <c r="BU15" s="111"/>
    </row>
    <row r="16" spans="1:93" x14ac:dyDescent="0.25">
      <c r="A16" s="25">
        <v>10</v>
      </c>
      <c r="B16" s="206"/>
      <c r="C16" s="35" t="s">
        <v>108</v>
      </c>
      <c r="D16" s="273">
        <v>1955</v>
      </c>
      <c r="E16" s="258">
        <v>2</v>
      </c>
      <c r="F16" s="274">
        <v>6</v>
      </c>
      <c r="G16" s="322">
        <v>14</v>
      </c>
      <c r="H16" s="274">
        <v>328.7</v>
      </c>
      <c r="I16" s="274"/>
      <c r="J16" s="274"/>
      <c r="K16" s="274">
        <v>375.24</v>
      </c>
      <c r="L16" s="274">
        <v>464.93</v>
      </c>
      <c r="M16" s="274">
        <v>99.78</v>
      </c>
      <c r="N16" s="274">
        <v>78.91</v>
      </c>
      <c r="O16" s="324">
        <v>287.94</v>
      </c>
      <c r="P16" s="324">
        <v>227.71</v>
      </c>
      <c r="Q16" s="324"/>
      <c r="R16" s="324"/>
      <c r="S16" s="324"/>
      <c r="T16" s="324"/>
      <c r="U16" s="324"/>
      <c r="V16" s="324">
        <v>73.48</v>
      </c>
      <c r="W16" s="324"/>
      <c r="X16" s="324">
        <v>704.82</v>
      </c>
      <c r="Y16" s="324">
        <v>134.69999999999999</v>
      </c>
      <c r="Z16" s="324">
        <v>130.6</v>
      </c>
      <c r="AA16" s="324"/>
      <c r="AB16" s="324"/>
      <c r="AC16" s="324"/>
      <c r="AD16" s="324"/>
      <c r="AE16" s="324">
        <v>226.44</v>
      </c>
      <c r="AF16" s="324">
        <v>217.6</v>
      </c>
      <c r="AG16" s="324"/>
      <c r="AH16" s="324"/>
      <c r="AI16" s="324">
        <v>44433.66</v>
      </c>
      <c r="AJ16" s="324">
        <v>42739.19</v>
      </c>
      <c r="AK16" s="324">
        <f t="shared" si="0"/>
        <v>5226.3499999999995</v>
      </c>
      <c r="AL16" s="324"/>
      <c r="AM16" s="324">
        <f t="shared" si="1"/>
        <v>39207.310000000005</v>
      </c>
      <c r="AN16" s="324">
        <f t="shared" si="2"/>
        <v>37712.145960492569</v>
      </c>
      <c r="AO16" s="324">
        <f t="shared" si="3"/>
        <v>40331.410000000003</v>
      </c>
      <c r="AP16" s="324">
        <f t="shared" si="4"/>
        <v>39610.195960492572</v>
      </c>
      <c r="AQ16" s="433">
        <f t="shared" si="5"/>
        <v>37967.723448318022</v>
      </c>
      <c r="AR16" s="323"/>
      <c r="AS16" s="335"/>
      <c r="AT16" s="324">
        <v>235.34</v>
      </c>
      <c r="AU16" s="335">
        <v>572.53</v>
      </c>
      <c r="AV16" s="335">
        <v>15096.54</v>
      </c>
      <c r="AW16" s="335">
        <v>6106.34</v>
      </c>
      <c r="AX16" s="324">
        <f t="shared" si="6"/>
        <v>277.74344831802273</v>
      </c>
      <c r="AY16" s="324">
        <v>236.63</v>
      </c>
      <c r="AZ16" s="324">
        <v>63.22</v>
      </c>
      <c r="BA16" s="324">
        <v>240.66</v>
      </c>
      <c r="BB16" s="324">
        <v>22.82</v>
      </c>
      <c r="BC16" s="324">
        <v>13140.97</v>
      </c>
      <c r="BD16" s="324">
        <v>77.66</v>
      </c>
      <c r="BE16" s="335">
        <v>1420.85</v>
      </c>
      <c r="BF16" s="335"/>
      <c r="BG16" s="335">
        <v>17.28</v>
      </c>
      <c r="BH16" s="335"/>
      <c r="BI16" s="335">
        <v>69.2</v>
      </c>
      <c r="BJ16" s="483"/>
      <c r="BK16" s="483">
        <v>290.22000000000003</v>
      </c>
      <c r="BL16" s="483">
        <v>99.72</v>
      </c>
      <c r="BM16" s="484"/>
      <c r="BN16" s="486"/>
      <c r="BO16" s="484"/>
      <c r="BP16" s="484"/>
      <c r="BQ16" s="725">
        <f t="shared" si="7"/>
        <v>2363.6865516819817</v>
      </c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</row>
    <row r="17" spans="1:270" x14ac:dyDescent="0.25">
      <c r="A17" s="25">
        <v>11</v>
      </c>
      <c r="B17" s="206"/>
      <c r="C17" s="35" t="s">
        <v>109</v>
      </c>
      <c r="D17" s="273">
        <v>1979</v>
      </c>
      <c r="E17" s="258">
        <v>5</v>
      </c>
      <c r="F17" s="274">
        <v>81</v>
      </c>
      <c r="G17" s="322">
        <v>168</v>
      </c>
      <c r="H17" s="274">
        <v>3928.89</v>
      </c>
      <c r="I17" s="274">
        <v>28700</v>
      </c>
      <c r="J17" s="274">
        <v>31172.94</v>
      </c>
      <c r="K17" s="274"/>
      <c r="L17" s="274">
        <v>57.57</v>
      </c>
      <c r="M17" s="274"/>
      <c r="N17" s="274"/>
      <c r="O17" s="324"/>
      <c r="P17" s="324"/>
      <c r="Q17" s="324">
        <v>28140</v>
      </c>
      <c r="R17" s="324">
        <v>26606</v>
      </c>
      <c r="S17" s="324"/>
      <c r="T17" s="324">
        <v>271.58999999999997</v>
      </c>
      <c r="U17" s="324"/>
      <c r="V17" s="324">
        <v>15.97</v>
      </c>
      <c r="W17" s="324"/>
      <c r="X17" s="324">
        <v>202.04</v>
      </c>
      <c r="Y17" s="324">
        <v>3083.12</v>
      </c>
      <c r="Z17" s="324">
        <v>3119.38</v>
      </c>
      <c r="AA17" s="324"/>
      <c r="AB17" s="324"/>
      <c r="AC17" s="324"/>
      <c r="AD17" s="324"/>
      <c r="AE17" s="324"/>
      <c r="AF17" s="324">
        <v>40.81</v>
      </c>
      <c r="AG17" s="324">
        <v>5471.78</v>
      </c>
      <c r="AH17" s="324">
        <v>5040.67</v>
      </c>
      <c r="AI17" s="324">
        <v>733179.05</v>
      </c>
      <c r="AJ17" s="324">
        <v>678078.36</v>
      </c>
      <c r="AK17" s="324">
        <f t="shared" si="0"/>
        <v>78825.799999999988</v>
      </c>
      <c r="AL17" s="324"/>
      <c r="AM17" s="324">
        <f t="shared" si="1"/>
        <v>654353.25</v>
      </c>
      <c r="AN17" s="324">
        <f t="shared" si="2"/>
        <v>605176.56447039777</v>
      </c>
      <c r="AO17" s="324">
        <f t="shared" si="3"/>
        <v>719748.15</v>
      </c>
      <c r="AP17" s="324">
        <f t="shared" si="4"/>
        <v>671703.53447039775</v>
      </c>
      <c r="AQ17" s="433">
        <f t="shared" si="5"/>
        <v>689516.36580974213</v>
      </c>
      <c r="AR17" s="323"/>
      <c r="AS17" s="335">
        <v>28140</v>
      </c>
      <c r="AT17" s="324">
        <v>2821.93</v>
      </c>
      <c r="AU17" s="335">
        <v>19755.939999999999</v>
      </c>
      <c r="AV17" s="335">
        <v>181015.67</v>
      </c>
      <c r="AW17" s="335">
        <v>73217.91</v>
      </c>
      <c r="AX17" s="324">
        <f t="shared" si="6"/>
        <v>3319.8158097420028</v>
      </c>
      <c r="AY17" s="324">
        <v>2837.37</v>
      </c>
      <c r="AZ17" s="324">
        <v>757.99</v>
      </c>
      <c r="BA17" s="324">
        <v>7027.3</v>
      </c>
      <c r="BB17" s="324">
        <v>628.6</v>
      </c>
      <c r="BC17" s="324">
        <v>157567.39000000001</v>
      </c>
      <c r="BD17" s="324">
        <v>931.14</v>
      </c>
      <c r="BE17" s="335">
        <v>17036.7</v>
      </c>
      <c r="BF17" s="335">
        <v>2520</v>
      </c>
      <c r="BG17" s="335">
        <v>207.22</v>
      </c>
      <c r="BH17" s="335">
        <v>176286.16</v>
      </c>
      <c r="BI17" s="335">
        <v>1617.15</v>
      </c>
      <c r="BJ17" s="483"/>
      <c r="BK17" s="484"/>
      <c r="BL17" s="484"/>
      <c r="BM17" s="484">
        <v>3991.68</v>
      </c>
      <c r="BN17" s="486"/>
      <c r="BO17" s="484"/>
      <c r="BP17" s="484">
        <v>9836.4</v>
      </c>
      <c r="BQ17" s="725">
        <f t="shared" si="7"/>
        <v>30231.784190257895</v>
      </c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</row>
    <row r="18" spans="1:270" s="144" customFormat="1" x14ac:dyDescent="0.25">
      <c r="A18" s="26">
        <v>12</v>
      </c>
      <c r="B18" s="211"/>
      <c r="C18" s="37" t="s">
        <v>110</v>
      </c>
      <c r="D18" s="325">
        <v>1957</v>
      </c>
      <c r="E18" s="325">
        <v>1</v>
      </c>
      <c r="F18" s="326">
        <v>4</v>
      </c>
      <c r="G18" s="327">
        <v>8</v>
      </c>
      <c r="H18" s="274">
        <v>118.1</v>
      </c>
      <c r="I18" s="274"/>
      <c r="J18" s="274"/>
      <c r="K18" s="274"/>
      <c r="L18" s="274"/>
      <c r="M18" s="274"/>
      <c r="N18" s="274"/>
      <c r="O18" s="324"/>
      <c r="P18" s="324"/>
      <c r="Q18" s="324"/>
      <c r="R18" s="324"/>
      <c r="S18" s="324"/>
      <c r="T18" s="324"/>
      <c r="U18" s="324"/>
      <c r="V18" s="324">
        <v>67.2</v>
      </c>
      <c r="W18" s="324"/>
      <c r="X18" s="324">
        <v>478.8</v>
      </c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>
        <v>8741.64</v>
      </c>
      <c r="AJ18" s="324">
        <v>15839.14</v>
      </c>
      <c r="AK18" s="324">
        <f t="shared" si="0"/>
        <v>0</v>
      </c>
      <c r="AL18" s="324"/>
      <c r="AM18" s="324">
        <f t="shared" si="1"/>
        <v>8741.64</v>
      </c>
      <c r="AN18" s="324">
        <f t="shared" si="2"/>
        <v>15839.14</v>
      </c>
      <c r="AO18" s="324">
        <f t="shared" si="3"/>
        <v>8741.64</v>
      </c>
      <c r="AP18" s="324">
        <f t="shared" si="4"/>
        <v>16385.14</v>
      </c>
      <c r="AQ18" s="433">
        <f t="shared" si="5"/>
        <v>12073.011607077451</v>
      </c>
      <c r="AR18" s="323"/>
      <c r="AS18" s="335"/>
      <c r="AT18" s="324">
        <v>81.63</v>
      </c>
      <c r="AU18" s="335">
        <v>56.37</v>
      </c>
      <c r="AV18" s="335">
        <v>5235.79</v>
      </c>
      <c r="AW18" s="335">
        <v>1388.19</v>
      </c>
      <c r="AX18" s="324">
        <f t="shared" si="6"/>
        <v>99.791607077452028</v>
      </c>
      <c r="AY18" s="324">
        <v>82.07</v>
      </c>
      <c r="AZ18" s="324">
        <v>21.92</v>
      </c>
      <c r="BA18" s="324"/>
      <c r="BB18" s="324"/>
      <c r="BC18" s="324">
        <v>4557.5600000000004</v>
      </c>
      <c r="BD18" s="324">
        <v>26.93</v>
      </c>
      <c r="BE18" s="335">
        <v>492.78</v>
      </c>
      <c r="BF18" s="335"/>
      <c r="BG18" s="335">
        <v>5.99</v>
      </c>
      <c r="BH18" s="335"/>
      <c r="BI18" s="335">
        <v>23.99</v>
      </c>
      <c r="BJ18" s="483"/>
      <c r="BK18" s="483"/>
      <c r="BL18" s="483"/>
      <c r="BM18" s="484"/>
      <c r="BN18" s="486"/>
      <c r="BO18" s="484"/>
      <c r="BP18" s="484"/>
      <c r="BQ18" s="725">
        <f t="shared" si="7"/>
        <v>-3331.3716070774517</v>
      </c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</row>
    <row r="19" spans="1:270" x14ac:dyDescent="0.25">
      <c r="A19" s="25">
        <v>13</v>
      </c>
      <c r="B19" s="206"/>
      <c r="C19" s="35" t="s">
        <v>111</v>
      </c>
      <c r="D19" s="273">
        <v>1955</v>
      </c>
      <c r="E19" s="258">
        <v>2</v>
      </c>
      <c r="F19" s="274">
        <v>15</v>
      </c>
      <c r="G19" s="322">
        <v>33</v>
      </c>
      <c r="H19" s="274">
        <v>796.8</v>
      </c>
      <c r="I19" s="274"/>
      <c r="J19" s="274"/>
      <c r="K19" s="274">
        <v>816.66</v>
      </c>
      <c r="L19" s="274">
        <v>861.6</v>
      </c>
      <c r="M19" s="274">
        <v>217.02</v>
      </c>
      <c r="N19" s="274">
        <v>152.71</v>
      </c>
      <c r="O19" s="324">
        <v>626.4</v>
      </c>
      <c r="P19" s="324">
        <v>440.81</v>
      </c>
      <c r="Q19" s="324"/>
      <c r="R19" s="324"/>
      <c r="S19" s="324"/>
      <c r="T19" s="324"/>
      <c r="U19" s="324"/>
      <c r="V19" s="324">
        <v>22.16</v>
      </c>
      <c r="W19" s="324"/>
      <c r="X19" s="324">
        <v>240.48</v>
      </c>
      <c r="Y19" s="324">
        <v>293.27999999999997</v>
      </c>
      <c r="Z19" s="324">
        <v>258.45</v>
      </c>
      <c r="AA19" s="324"/>
      <c r="AB19" s="324"/>
      <c r="AC19" s="324"/>
      <c r="AD19" s="324"/>
      <c r="AE19" s="324">
        <v>492.78</v>
      </c>
      <c r="AF19" s="324">
        <v>438.06</v>
      </c>
      <c r="AG19" s="324"/>
      <c r="AH19" s="324"/>
      <c r="AI19" s="324">
        <v>107381.45</v>
      </c>
      <c r="AJ19" s="324">
        <v>90780.99</v>
      </c>
      <c r="AK19" s="324">
        <f t="shared" si="0"/>
        <v>17322.149999999998</v>
      </c>
      <c r="AL19" s="324"/>
      <c r="AM19" s="324">
        <f t="shared" si="1"/>
        <v>90059.3</v>
      </c>
      <c r="AN19" s="324">
        <f t="shared" si="2"/>
        <v>76136.729506884119</v>
      </c>
      <c r="AO19" s="324">
        <f t="shared" si="3"/>
        <v>92505.44</v>
      </c>
      <c r="AP19" s="324">
        <f t="shared" si="4"/>
        <v>78550.999506884124</v>
      </c>
      <c r="AQ19" s="433">
        <f t="shared" si="5"/>
        <v>92174.126481958621</v>
      </c>
      <c r="AR19" s="323"/>
      <c r="AS19" s="335"/>
      <c r="AT19" s="324">
        <v>572.86</v>
      </c>
      <c r="AU19" s="335">
        <v>1757.44</v>
      </c>
      <c r="AV19" s="335">
        <v>36747.01</v>
      </c>
      <c r="AW19" s="335">
        <v>14863.59</v>
      </c>
      <c r="AX19" s="324">
        <f t="shared" si="6"/>
        <v>673.27648195862639</v>
      </c>
      <c r="AY19" s="324">
        <v>576</v>
      </c>
      <c r="AZ19" s="324">
        <v>153.88</v>
      </c>
      <c r="BA19" s="324">
        <v>515.70000000000005</v>
      </c>
      <c r="BB19" s="324">
        <v>49.62</v>
      </c>
      <c r="BC19" s="324">
        <v>31986.9</v>
      </c>
      <c r="BD19" s="324">
        <v>189.03</v>
      </c>
      <c r="BE19" s="335">
        <v>3458.53</v>
      </c>
      <c r="BF19" s="335"/>
      <c r="BG19" s="335">
        <v>42.07</v>
      </c>
      <c r="BH19" s="335"/>
      <c r="BI19" s="335">
        <v>168.43</v>
      </c>
      <c r="BJ19" s="483"/>
      <c r="BK19" s="483">
        <v>311.31</v>
      </c>
      <c r="BL19" s="483">
        <v>108.48</v>
      </c>
      <c r="BM19" s="484"/>
      <c r="BN19" s="486"/>
      <c r="BO19" s="484"/>
      <c r="BP19" s="484"/>
      <c r="BQ19" s="725">
        <f t="shared" si="7"/>
        <v>331.31351804138103</v>
      </c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</row>
    <row r="20" spans="1:270" x14ac:dyDescent="0.25">
      <c r="A20" s="25">
        <v>14</v>
      </c>
      <c r="B20" s="206"/>
      <c r="C20" s="35" t="s">
        <v>112</v>
      </c>
      <c r="D20" s="273">
        <v>1955</v>
      </c>
      <c r="E20" s="258">
        <v>2</v>
      </c>
      <c r="F20" s="274">
        <v>12</v>
      </c>
      <c r="G20" s="322">
        <v>29</v>
      </c>
      <c r="H20" s="274">
        <v>842</v>
      </c>
      <c r="I20" s="274"/>
      <c r="J20" s="274"/>
      <c r="K20" s="274">
        <v>849.66</v>
      </c>
      <c r="L20" s="274">
        <v>848.24</v>
      </c>
      <c r="M20" s="274">
        <v>225.72</v>
      </c>
      <c r="N20" s="274">
        <v>173.73</v>
      </c>
      <c r="O20" s="324">
        <v>652.02</v>
      </c>
      <c r="P20" s="324">
        <v>501.89</v>
      </c>
      <c r="Q20" s="324"/>
      <c r="R20" s="324"/>
      <c r="S20" s="324"/>
      <c r="T20" s="324"/>
      <c r="U20" s="324"/>
      <c r="V20" s="324">
        <v>1.95</v>
      </c>
      <c r="W20" s="324"/>
      <c r="X20" s="324">
        <v>11.81</v>
      </c>
      <c r="Y20" s="324">
        <v>304.92</v>
      </c>
      <c r="Z20" s="324">
        <v>267.62</v>
      </c>
      <c r="AA20" s="324"/>
      <c r="AB20" s="324"/>
      <c r="AC20" s="324"/>
      <c r="AD20" s="324"/>
      <c r="AE20" s="324">
        <v>512.76</v>
      </c>
      <c r="AF20" s="324">
        <v>445.22</v>
      </c>
      <c r="AG20" s="324"/>
      <c r="AH20" s="324"/>
      <c r="AI20" s="324">
        <v>112196.24</v>
      </c>
      <c r="AJ20" s="324">
        <v>103166.65</v>
      </c>
      <c r="AK20" s="324">
        <f t="shared" si="0"/>
        <v>18185.400000000005</v>
      </c>
      <c r="AL20" s="324"/>
      <c r="AM20" s="324">
        <f t="shared" si="1"/>
        <v>94010.84</v>
      </c>
      <c r="AN20" s="324">
        <f t="shared" si="2"/>
        <v>86444.816925112624</v>
      </c>
      <c r="AO20" s="324">
        <f t="shared" si="3"/>
        <v>96555.92</v>
      </c>
      <c r="AP20" s="324">
        <f t="shared" si="4"/>
        <v>88695.276925112616</v>
      </c>
      <c r="AQ20" s="433">
        <f t="shared" si="5"/>
        <v>95262.269374760494</v>
      </c>
      <c r="AR20" s="323"/>
      <c r="AS20" s="335"/>
      <c r="AT20" s="324">
        <v>598.64</v>
      </c>
      <c r="AU20" s="335">
        <v>791.5</v>
      </c>
      <c r="AV20" s="335">
        <v>38400.43</v>
      </c>
      <c r="AW20" s="335">
        <v>15532.36</v>
      </c>
      <c r="AX20" s="324">
        <f t="shared" si="6"/>
        <v>711.46937476049629</v>
      </c>
      <c r="AY20" s="324">
        <v>601.91999999999996</v>
      </c>
      <c r="AZ20" s="324">
        <v>160.80000000000001</v>
      </c>
      <c r="BA20" s="324">
        <v>515.70000000000005</v>
      </c>
      <c r="BB20" s="324">
        <v>51.66</v>
      </c>
      <c r="BC20" s="324">
        <v>33426.120000000003</v>
      </c>
      <c r="BD20" s="324">
        <v>197.53</v>
      </c>
      <c r="BE20" s="335">
        <v>3614.14</v>
      </c>
      <c r="BF20" s="335"/>
      <c r="BG20" s="335">
        <v>43.96</v>
      </c>
      <c r="BH20" s="335"/>
      <c r="BI20" s="335">
        <v>176</v>
      </c>
      <c r="BJ20" s="483"/>
      <c r="BK20" s="483">
        <v>327.12</v>
      </c>
      <c r="BL20" s="483">
        <v>112.92</v>
      </c>
      <c r="BM20" s="484"/>
      <c r="BN20" s="486"/>
      <c r="BO20" s="484"/>
      <c r="BP20" s="484"/>
      <c r="BQ20" s="725">
        <f t="shared" si="7"/>
        <v>1293.6506252395047</v>
      </c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</row>
    <row r="21" spans="1:270" x14ac:dyDescent="0.25">
      <c r="A21" s="25">
        <v>15</v>
      </c>
      <c r="B21" s="206"/>
      <c r="C21" s="35" t="s">
        <v>113</v>
      </c>
      <c r="D21" s="273">
        <v>1955</v>
      </c>
      <c r="E21" s="258">
        <v>2</v>
      </c>
      <c r="F21" s="274">
        <v>12</v>
      </c>
      <c r="G21" s="322">
        <v>29</v>
      </c>
      <c r="H21" s="274">
        <v>794.83</v>
      </c>
      <c r="I21" s="274"/>
      <c r="J21" s="274"/>
      <c r="K21" s="274">
        <v>816.6</v>
      </c>
      <c r="L21" s="274">
        <v>1056.23</v>
      </c>
      <c r="M21" s="274">
        <v>216.96</v>
      </c>
      <c r="N21" s="274">
        <v>156.05000000000001</v>
      </c>
      <c r="O21" s="324">
        <v>626.52</v>
      </c>
      <c r="P21" s="324">
        <v>450.68</v>
      </c>
      <c r="Q21" s="324"/>
      <c r="R21" s="324"/>
      <c r="S21" s="324"/>
      <c r="T21" s="324"/>
      <c r="U21" s="324"/>
      <c r="V21" s="324">
        <v>53.21</v>
      </c>
      <c r="W21" s="324"/>
      <c r="X21" s="324">
        <v>580.80999999999995</v>
      </c>
      <c r="Y21" s="324">
        <v>293.33999999999997</v>
      </c>
      <c r="Z21" s="324">
        <v>293.68</v>
      </c>
      <c r="AA21" s="324"/>
      <c r="AB21" s="324"/>
      <c r="AC21" s="324"/>
      <c r="AD21" s="324"/>
      <c r="AE21" s="324">
        <v>492.9</v>
      </c>
      <c r="AF21" s="324">
        <v>496.99</v>
      </c>
      <c r="AG21" s="324"/>
      <c r="AH21" s="324"/>
      <c r="AI21" s="324">
        <v>105135</v>
      </c>
      <c r="AJ21" s="324">
        <v>97870.22</v>
      </c>
      <c r="AK21" s="324">
        <f t="shared" si="0"/>
        <v>15876.600000000002</v>
      </c>
      <c r="AL21" s="324"/>
      <c r="AM21" s="324">
        <f t="shared" si="1"/>
        <v>89258.4</v>
      </c>
      <c r="AN21" s="324">
        <f t="shared" si="2"/>
        <v>83090.685735939507</v>
      </c>
      <c r="AO21" s="324">
        <f t="shared" si="3"/>
        <v>91704.72</v>
      </c>
      <c r="AP21" s="324">
        <f t="shared" si="4"/>
        <v>86178.335735939501</v>
      </c>
      <c r="AQ21" s="433">
        <f t="shared" si="5"/>
        <v>91101.53188021481</v>
      </c>
      <c r="AR21" s="323"/>
      <c r="AS21" s="335"/>
      <c r="AT21" s="324">
        <v>568.37</v>
      </c>
      <c r="AU21" s="335">
        <v>1381.96</v>
      </c>
      <c r="AV21" s="335">
        <v>36459.040000000001</v>
      </c>
      <c r="AW21" s="335">
        <v>14747.11</v>
      </c>
      <c r="AX21" s="324">
        <f t="shared" si="6"/>
        <v>671.61188021482815</v>
      </c>
      <c r="AY21" s="324">
        <v>571.49</v>
      </c>
      <c r="AZ21" s="324">
        <v>152.66999999999999</v>
      </c>
      <c r="BA21" s="324">
        <v>515.70000000000005</v>
      </c>
      <c r="BB21" s="324">
        <v>49.7</v>
      </c>
      <c r="BC21" s="324">
        <v>31736.25</v>
      </c>
      <c r="BD21" s="324">
        <v>187.54</v>
      </c>
      <c r="BE21" s="335">
        <v>3431.43</v>
      </c>
      <c r="BF21" s="335"/>
      <c r="BG21" s="335">
        <v>41.74</v>
      </c>
      <c r="BH21" s="335"/>
      <c r="BI21" s="335">
        <v>167.1</v>
      </c>
      <c r="BJ21" s="483"/>
      <c r="BK21" s="484">
        <v>311.31</v>
      </c>
      <c r="BL21" s="484">
        <v>108.51</v>
      </c>
      <c r="BM21" s="484"/>
      <c r="BN21" s="485"/>
      <c r="BO21" s="484"/>
      <c r="BP21" s="484"/>
      <c r="BQ21" s="725">
        <f t="shared" si="7"/>
        <v>603.18811978519079</v>
      </c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</row>
    <row r="22" spans="1:270" x14ac:dyDescent="0.25">
      <c r="A22" s="25">
        <v>16</v>
      </c>
      <c r="B22" s="206"/>
      <c r="C22" s="35" t="s">
        <v>114</v>
      </c>
      <c r="D22" s="273">
        <v>1955</v>
      </c>
      <c r="E22" s="258">
        <v>2</v>
      </c>
      <c r="F22" s="274">
        <v>12</v>
      </c>
      <c r="G22" s="322">
        <v>31</v>
      </c>
      <c r="H22" s="274">
        <v>836.38</v>
      </c>
      <c r="I22" s="274"/>
      <c r="J22" s="274"/>
      <c r="K22" s="274">
        <v>849.72</v>
      </c>
      <c r="L22" s="274">
        <v>901.46</v>
      </c>
      <c r="M22" s="274">
        <v>225.84</v>
      </c>
      <c r="N22" s="274">
        <v>168.42</v>
      </c>
      <c r="O22" s="324">
        <v>651.84</v>
      </c>
      <c r="P22" s="324">
        <v>486.16</v>
      </c>
      <c r="Q22" s="324"/>
      <c r="R22" s="324"/>
      <c r="S22" s="324"/>
      <c r="T22" s="324"/>
      <c r="U22" s="324"/>
      <c r="V22" s="324">
        <v>6.49</v>
      </c>
      <c r="W22" s="324"/>
      <c r="X22" s="324">
        <v>72.17</v>
      </c>
      <c r="Y22" s="324">
        <v>305.13</v>
      </c>
      <c r="Z22" s="324">
        <v>274.87</v>
      </c>
      <c r="AA22" s="324"/>
      <c r="AB22" s="324"/>
      <c r="AC22" s="324"/>
      <c r="AD22" s="324"/>
      <c r="AE22" s="324">
        <v>512.64</v>
      </c>
      <c r="AF22" s="324">
        <v>458.19</v>
      </c>
      <c r="AG22" s="324"/>
      <c r="AH22" s="324"/>
      <c r="AI22" s="324">
        <v>112153.3</v>
      </c>
      <c r="AJ22" s="324">
        <v>97785.919999999998</v>
      </c>
      <c r="AK22" s="324">
        <f t="shared" si="0"/>
        <v>18761.885714285716</v>
      </c>
      <c r="AL22" s="324"/>
      <c r="AM22" s="324">
        <f t="shared" si="1"/>
        <v>93391.414285714287</v>
      </c>
      <c r="AN22" s="324">
        <f t="shared" si="2"/>
        <v>81427.522560902915</v>
      </c>
      <c r="AO22" s="324">
        <f t="shared" si="3"/>
        <v>95936.584285714285</v>
      </c>
      <c r="AP22" s="324">
        <f t="shared" si="4"/>
        <v>83795.282560902924</v>
      </c>
      <c r="AQ22" s="433">
        <f t="shared" si="5"/>
        <v>95994.840612425367</v>
      </c>
      <c r="AR22" s="323"/>
      <c r="AS22" s="335"/>
      <c r="AT22" s="324">
        <v>602.36</v>
      </c>
      <c r="AU22" s="335">
        <v>952.88</v>
      </c>
      <c r="AV22" s="335">
        <v>38638.339999999997</v>
      </c>
      <c r="AW22" s="335">
        <v>15629.85</v>
      </c>
      <c r="AX22" s="324">
        <f t="shared" si="6"/>
        <v>706.72061242539655</v>
      </c>
      <c r="AY22" s="324">
        <v>605.65</v>
      </c>
      <c r="AZ22" s="324">
        <v>161.80000000000001</v>
      </c>
      <c r="BA22" s="324">
        <v>515.70000000000005</v>
      </c>
      <c r="BB22" s="324">
        <v>51.68</v>
      </c>
      <c r="BC22" s="324">
        <v>33633.21</v>
      </c>
      <c r="BD22" s="324">
        <v>198.76</v>
      </c>
      <c r="BE22" s="335">
        <v>3636.53</v>
      </c>
      <c r="BF22" s="335"/>
      <c r="BG22" s="335">
        <v>44.23</v>
      </c>
      <c r="BH22" s="335"/>
      <c r="BI22" s="335">
        <v>177.09</v>
      </c>
      <c r="BJ22" s="483"/>
      <c r="BK22" s="484">
        <v>327.12</v>
      </c>
      <c r="BL22" s="484">
        <v>112.92</v>
      </c>
      <c r="BM22" s="484"/>
      <c r="BN22" s="485"/>
      <c r="BO22" s="484"/>
      <c r="BP22" s="484"/>
      <c r="BQ22" s="725">
        <f t="shared" si="7"/>
        <v>-58.256326711081783</v>
      </c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</row>
    <row r="23" spans="1:270" x14ac:dyDescent="0.25">
      <c r="A23" s="25">
        <v>17</v>
      </c>
      <c r="B23" s="207">
        <v>42569</v>
      </c>
      <c r="C23" s="35" t="s">
        <v>115</v>
      </c>
      <c r="D23" s="273">
        <v>1955</v>
      </c>
      <c r="E23" s="258">
        <v>2</v>
      </c>
      <c r="F23" s="274">
        <v>12</v>
      </c>
      <c r="G23" s="322">
        <v>31</v>
      </c>
      <c r="H23" s="274">
        <v>747.9</v>
      </c>
      <c r="I23" s="274"/>
      <c r="J23" s="274"/>
      <c r="K23" s="274">
        <v>816.58</v>
      </c>
      <c r="L23" s="274">
        <v>1082.82</v>
      </c>
      <c r="M23" s="274">
        <v>217.08</v>
      </c>
      <c r="N23" s="274">
        <v>158.63</v>
      </c>
      <c r="O23" s="324">
        <v>626.4</v>
      </c>
      <c r="P23" s="324">
        <v>457.77</v>
      </c>
      <c r="Q23" s="324"/>
      <c r="R23" s="324"/>
      <c r="S23" s="324"/>
      <c r="T23" s="324"/>
      <c r="U23" s="324"/>
      <c r="V23" s="324">
        <v>58.61</v>
      </c>
      <c r="W23" s="324"/>
      <c r="X23" s="324">
        <v>652.42999999999995</v>
      </c>
      <c r="Y23" s="324">
        <v>293.12</v>
      </c>
      <c r="Z23" s="324">
        <v>299.97000000000003</v>
      </c>
      <c r="AA23" s="324"/>
      <c r="AB23" s="324"/>
      <c r="AC23" s="324"/>
      <c r="AD23" s="324"/>
      <c r="AE23" s="324">
        <v>492.96</v>
      </c>
      <c r="AF23" s="324">
        <v>516.84</v>
      </c>
      <c r="AG23" s="324"/>
      <c r="AH23" s="324"/>
      <c r="AI23" s="324">
        <v>114290.44</v>
      </c>
      <c r="AJ23" s="324">
        <v>103989.47</v>
      </c>
      <c r="AK23" s="324">
        <f t="shared" si="0"/>
        <v>16108.571428571428</v>
      </c>
      <c r="AL23" s="324"/>
      <c r="AM23" s="324">
        <f t="shared" si="1"/>
        <v>98181.868571428582</v>
      </c>
      <c r="AN23" s="324">
        <f t="shared" si="2"/>
        <v>89332.760258447815</v>
      </c>
      <c r="AO23" s="324">
        <f t="shared" si="3"/>
        <v>100628.00857142858</v>
      </c>
      <c r="AP23" s="324">
        <f t="shared" si="4"/>
        <v>92559.830258447822</v>
      </c>
      <c r="AQ23" s="433">
        <f t="shared" si="5"/>
        <v>98584.037179790219</v>
      </c>
      <c r="AR23" s="323"/>
      <c r="AS23" s="335"/>
      <c r="AT23" s="324">
        <v>577.09</v>
      </c>
      <c r="AU23" s="335">
        <v>2365.5100000000002</v>
      </c>
      <c r="AV23" s="335">
        <v>37017.99</v>
      </c>
      <c r="AW23" s="335">
        <v>14961.81</v>
      </c>
      <c r="AX23" s="324">
        <f t="shared" si="6"/>
        <v>631.95717979023186</v>
      </c>
      <c r="AY23" s="324">
        <v>580.25</v>
      </c>
      <c r="AZ23" s="324">
        <v>155.01</v>
      </c>
      <c r="BA23" s="324">
        <v>515.70000000000005</v>
      </c>
      <c r="BB23" s="324">
        <v>49.66</v>
      </c>
      <c r="BC23" s="324">
        <v>32222.76</v>
      </c>
      <c r="BD23" s="324">
        <v>190.42</v>
      </c>
      <c r="BE23" s="335">
        <v>3484.04</v>
      </c>
      <c r="BF23" s="335"/>
      <c r="BG23" s="335">
        <v>42.38</v>
      </c>
      <c r="BH23" s="335"/>
      <c r="BI23" s="335">
        <v>169.67</v>
      </c>
      <c r="BJ23" s="483"/>
      <c r="BK23" s="484">
        <v>311.31</v>
      </c>
      <c r="BL23" s="484">
        <v>108.48</v>
      </c>
      <c r="BM23" s="484"/>
      <c r="BN23" s="485">
        <v>5200</v>
      </c>
      <c r="BO23" s="484"/>
      <c r="BP23" s="484"/>
      <c r="BQ23" s="725">
        <f t="shared" si="7"/>
        <v>2043.9713916383625</v>
      </c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726"/>
      <c r="CR23" s="726"/>
      <c r="CS23" s="726"/>
      <c r="CT23" s="726"/>
      <c r="CU23" s="726"/>
      <c r="CV23" s="726"/>
      <c r="CW23" s="726"/>
      <c r="CX23" s="726"/>
      <c r="CY23" s="726"/>
      <c r="CZ23" s="726"/>
      <c r="DA23" s="726"/>
      <c r="DB23" s="726"/>
      <c r="DC23" s="726"/>
      <c r="DD23" s="726"/>
      <c r="DE23" s="726"/>
      <c r="DF23" s="726"/>
      <c r="DG23" s="726"/>
      <c r="DH23" s="726"/>
      <c r="DI23" s="726"/>
      <c r="DJ23" s="726"/>
      <c r="DK23" s="726"/>
      <c r="DL23" s="726"/>
      <c r="DM23" s="726"/>
      <c r="DN23" s="726"/>
      <c r="DO23" s="726"/>
      <c r="DP23" s="726"/>
      <c r="DQ23" s="726"/>
      <c r="DR23" s="726"/>
      <c r="DS23" s="726"/>
      <c r="DT23" s="726"/>
      <c r="DU23" s="726"/>
      <c r="DV23" s="726"/>
      <c r="DW23" s="726"/>
      <c r="DX23" s="726"/>
      <c r="DY23" s="726"/>
      <c r="DZ23" s="726"/>
      <c r="EA23" s="726"/>
      <c r="EB23" s="726"/>
      <c r="EC23" s="726"/>
      <c r="ED23" s="726"/>
      <c r="EE23" s="726"/>
      <c r="EF23" s="726"/>
      <c r="EG23" s="726"/>
      <c r="EH23" s="726"/>
      <c r="EI23" s="726"/>
      <c r="EJ23" s="726"/>
      <c r="EK23" s="726"/>
      <c r="EL23" s="726"/>
      <c r="EM23" s="726"/>
      <c r="EN23" s="726"/>
      <c r="EO23" s="726"/>
      <c r="EP23" s="726"/>
      <c r="EQ23" s="726"/>
      <c r="ER23" s="726"/>
      <c r="ES23" s="726"/>
      <c r="ET23" s="726"/>
      <c r="EU23" s="726"/>
      <c r="EV23" s="726"/>
      <c r="EW23" s="726"/>
      <c r="EX23" s="726"/>
      <c r="EY23" s="726"/>
      <c r="EZ23" s="726"/>
      <c r="FA23" s="726"/>
      <c r="FB23" s="726"/>
      <c r="FC23" s="726"/>
      <c r="FD23" s="726"/>
      <c r="FE23" s="726"/>
      <c r="FF23" s="726"/>
      <c r="FG23" s="726"/>
      <c r="FH23" s="726"/>
      <c r="FI23" s="726"/>
      <c r="FJ23" s="726"/>
      <c r="FK23" s="726"/>
      <c r="FL23" s="726"/>
      <c r="FM23" s="726"/>
      <c r="FN23" s="726"/>
      <c r="FO23" s="726"/>
      <c r="FP23" s="726"/>
      <c r="FQ23" s="726"/>
      <c r="FR23" s="726"/>
      <c r="FS23" s="726"/>
      <c r="FT23" s="726"/>
      <c r="FU23" s="726"/>
      <c r="FV23" s="726"/>
      <c r="FW23" s="726"/>
      <c r="FX23" s="726"/>
      <c r="FY23" s="726"/>
      <c r="FZ23" s="726"/>
      <c r="GA23" s="726"/>
      <c r="GB23" s="726"/>
      <c r="GC23" s="726"/>
      <c r="GD23" s="726"/>
      <c r="GE23" s="726"/>
      <c r="GF23" s="726"/>
      <c r="GG23" s="726"/>
      <c r="GH23" s="726"/>
      <c r="GI23" s="726"/>
      <c r="GJ23" s="726"/>
      <c r="GK23" s="726"/>
      <c r="GL23" s="726"/>
      <c r="GM23" s="726"/>
      <c r="GN23" s="726"/>
      <c r="GO23" s="726"/>
      <c r="GP23" s="726"/>
      <c r="GQ23" s="726"/>
      <c r="GR23" s="726"/>
      <c r="GS23" s="726"/>
      <c r="GT23" s="726"/>
      <c r="GU23" s="726"/>
      <c r="GV23" s="726"/>
      <c r="GW23" s="726"/>
      <c r="GX23" s="726"/>
      <c r="GY23" s="726"/>
      <c r="GZ23" s="726"/>
      <c r="HA23" s="726"/>
      <c r="HB23" s="726"/>
      <c r="HC23" s="726"/>
      <c r="HD23" s="726"/>
      <c r="HE23" s="726"/>
      <c r="HF23" s="726"/>
      <c r="HG23" s="726"/>
      <c r="HH23" s="726"/>
      <c r="HI23" s="726"/>
      <c r="HJ23" s="726"/>
      <c r="HK23" s="726"/>
      <c r="HL23" s="726"/>
      <c r="HM23" s="726"/>
      <c r="HN23" s="726"/>
      <c r="HO23" s="726"/>
      <c r="HP23" s="726"/>
      <c r="HQ23" s="726"/>
      <c r="HR23" s="726"/>
      <c r="HS23" s="726"/>
      <c r="HT23" s="726"/>
      <c r="HU23" s="726"/>
      <c r="HV23" s="726"/>
      <c r="HW23" s="726"/>
      <c r="HX23" s="726"/>
      <c r="HY23" s="726"/>
      <c r="HZ23" s="726"/>
      <c r="IA23" s="726"/>
      <c r="IB23" s="726"/>
      <c r="IC23" s="726"/>
      <c r="ID23" s="726"/>
      <c r="IE23" s="726"/>
      <c r="IF23" s="726"/>
      <c r="IG23" s="726"/>
      <c r="IH23" s="726"/>
      <c r="II23" s="726"/>
      <c r="IJ23" s="726"/>
      <c r="IK23" s="726"/>
      <c r="IL23" s="726"/>
      <c r="IM23" s="726"/>
      <c r="IN23" s="726"/>
      <c r="IO23" s="726"/>
      <c r="IP23" s="726"/>
      <c r="IQ23" s="726"/>
      <c r="IR23" s="726"/>
      <c r="IS23" s="726"/>
      <c r="IT23" s="726"/>
      <c r="IU23" s="726"/>
      <c r="IV23" s="726"/>
      <c r="IW23" s="726"/>
      <c r="IX23" s="726"/>
      <c r="IY23" s="726"/>
      <c r="IZ23" s="726"/>
      <c r="JA23" s="726"/>
      <c r="JB23" s="726"/>
      <c r="JC23" s="726"/>
      <c r="JD23" s="726"/>
      <c r="JE23" s="726"/>
      <c r="JF23" s="726"/>
      <c r="JG23" s="726"/>
      <c r="JH23" s="726"/>
      <c r="JI23" s="726"/>
      <c r="JJ23" s="727"/>
    </row>
    <row r="24" spans="1:270" x14ac:dyDescent="0.25">
      <c r="A24" s="25">
        <v>18</v>
      </c>
      <c r="B24" s="206"/>
      <c r="C24" s="35" t="s">
        <v>116</v>
      </c>
      <c r="D24" s="273">
        <v>1985</v>
      </c>
      <c r="E24" s="258">
        <v>5</v>
      </c>
      <c r="F24" s="274">
        <v>76</v>
      </c>
      <c r="G24" s="322">
        <v>158</v>
      </c>
      <c r="H24" s="274">
        <v>4043.22</v>
      </c>
      <c r="I24" s="274">
        <v>26906.25</v>
      </c>
      <c r="J24" s="274">
        <v>30856.98</v>
      </c>
      <c r="K24" s="274">
        <v>12650.04</v>
      </c>
      <c r="L24" s="274">
        <v>14768.54</v>
      </c>
      <c r="M24" s="274">
        <v>3361.92</v>
      </c>
      <c r="N24" s="274">
        <v>2559.71</v>
      </c>
      <c r="O24" s="324">
        <v>9705.9</v>
      </c>
      <c r="P24" s="324">
        <v>7389.88</v>
      </c>
      <c r="Q24" s="324"/>
      <c r="R24" s="324"/>
      <c r="S24" s="324"/>
      <c r="T24" s="324">
        <v>1052.17</v>
      </c>
      <c r="U24" s="324"/>
      <c r="V24" s="324">
        <v>64.41</v>
      </c>
      <c r="W24" s="324"/>
      <c r="X24" s="324">
        <v>683.56</v>
      </c>
      <c r="Y24" s="324">
        <v>4542.18</v>
      </c>
      <c r="Z24" s="324">
        <v>4366.97</v>
      </c>
      <c r="AA24" s="324"/>
      <c r="AB24" s="324"/>
      <c r="AC24" s="324"/>
      <c r="AD24" s="324"/>
      <c r="AE24" s="324"/>
      <c r="AF24" s="324">
        <v>45.96</v>
      </c>
      <c r="AG24" s="324">
        <v>7633.86</v>
      </c>
      <c r="AH24" s="324">
        <v>7258.6</v>
      </c>
      <c r="AI24" s="324">
        <v>655123.59</v>
      </c>
      <c r="AJ24" s="324">
        <v>644713.98</v>
      </c>
      <c r="AK24" s="324">
        <f t="shared" si="0"/>
        <v>50335.3</v>
      </c>
      <c r="AL24" s="324"/>
      <c r="AM24" s="324">
        <f t="shared" si="1"/>
        <v>604788.28999999992</v>
      </c>
      <c r="AN24" s="324">
        <f t="shared" si="2"/>
        <v>595178.48457158159</v>
      </c>
      <c r="AO24" s="324">
        <f t="shared" si="3"/>
        <v>669588.44000000006</v>
      </c>
      <c r="AP24" s="324">
        <f t="shared" si="4"/>
        <v>664225.26457158162</v>
      </c>
      <c r="AQ24" s="433">
        <f t="shared" si="5"/>
        <v>710111.95185916743</v>
      </c>
      <c r="AR24" s="323">
        <v>23100</v>
      </c>
      <c r="AS24" s="335"/>
      <c r="AT24" s="324">
        <v>2883.16</v>
      </c>
      <c r="AU24" s="335">
        <v>30594.29</v>
      </c>
      <c r="AV24" s="335">
        <v>184943.9</v>
      </c>
      <c r="AW24" s="335">
        <v>74806.78</v>
      </c>
      <c r="AX24" s="324">
        <f t="shared" si="6"/>
        <v>3416.4218591676172</v>
      </c>
      <c r="AY24" s="324">
        <v>2898.94</v>
      </c>
      <c r="AZ24" s="324">
        <v>774.44</v>
      </c>
      <c r="BA24" s="324">
        <v>16353.42</v>
      </c>
      <c r="BB24" s="324">
        <v>769.36</v>
      </c>
      <c r="BC24" s="324">
        <v>160986.74</v>
      </c>
      <c r="BD24" s="324">
        <v>951.35</v>
      </c>
      <c r="BE24" s="335">
        <v>17406.41</v>
      </c>
      <c r="BF24" s="335"/>
      <c r="BG24" s="335">
        <v>211.72</v>
      </c>
      <c r="BH24" s="335">
        <v>174676.6</v>
      </c>
      <c r="BI24" s="335">
        <v>2293.2199999999998</v>
      </c>
      <c r="BJ24" s="483">
        <v>1500</v>
      </c>
      <c r="BK24" s="484">
        <v>4851.1499999999996</v>
      </c>
      <c r="BL24" s="484">
        <v>1680.69</v>
      </c>
      <c r="BM24" s="484">
        <v>5013.3599999999997</v>
      </c>
      <c r="BN24" s="485"/>
      <c r="BO24" s="484"/>
      <c r="BP24" s="484"/>
      <c r="BQ24" s="725">
        <f t="shared" si="7"/>
        <v>-40523.511859167367</v>
      </c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107"/>
      <c r="DE24" s="107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  <c r="GN24" s="107"/>
      <c r="GO24" s="107"/>
      <c r="GP24" s="107"/>
      <c r="GQ24" s="107"/>
      <c r="GR24" s="107"/>
      <c r="GS24" s="107"/>
      <c r="GT24" s="107"/>
      <c r="GU24" s="107"/>
      <c r="GV24" s="107"/>
      <c r="GW24" s="107"/>
      <c r="GX24" s="107"/>
      <c r="GY24" s="107"/>
      <c r="GZ24" s="107"/>
      <c r="HA24" s="107"/>
      <c r="HB24" s="107"/>
      <c r="HC24" s="107"/>
      <c r="HD24" s="107"/>
      <c r="HE24" s="107"/>
      <c r="HF24" s="107"/>
      <c r="HG24" s="107"/>
      <c r="HH24" s="107"/>
      <c r="HI24" s="107"/>
      <c r="HJ24" s="107"/>
      <c r="HK24" s="107"/>
      <c r="HL24" s="107"/>
      <c r="HM24" s="107"/>
      <c r="HN24" s="107"/>
      <c r="HO24" s="107"/>
      <c r="HP24" s="107"/>
      <c r="HQ24" s="107"/>
      <c r="HR24" s="107"/>
      <c r="HS24" s="107"/>
      <c r="HT24" s="107"/>
      <c r="HU24" s="107"/>
      <c r="HV24" s="107"/>
      <c r="HW24" s="107"/>
      <c r="HX24" s="107"/>
      <c r="HY24" s="107"/>
      <c r="HZ24" s="107"/>
      <c r="IA24" s="107"/>
      <c r="IB24" s="107"/>
      <c r="IC24" s="107"/>
      <c r="ID24" s="107"/>
      <c r="IE24" s="107"/>
      <c r="IF24" s="107"/>
      <c r="IG24" s="107"/>
      <c r="IH24" s="107"/>
      <c r="II24" s="107"/>
      <c r="IJ24" s="107"/>
      <c r="IK24" s="107"/>
      <c r="IL24" s="107"/>
      <c r="IM24" s="107"/>
      <c r="IN24" s="107"/>
      <c r="IO24" s="107"/>
      <c r="IP24" s="107"/>
      <c r="IQ24" s="107"/>
      <c r="IR24" s="107"/>
      <c r="IS24" s="107"/>
      <c r="IT24" s="107"/>
      <c r="IU24" s="107"/>
      <c r="IV24" s="107"/>
      <c r="IW24" s="107"/>
      <c r="IX24" s="107"/>
      <c r="IY24" s="107"/>
      <c r="IZ24" s="107"/>
      <c r="JA24" s="107"/>
      <c r="JB24" s="107"/>
      <c r="JC24" s="107"/>
      <c r="JD24" s="107"/>
      <c r="JE24" s="107"/>
      <c r="JF24" s="107"/>
      <c r="JG24" s="107"/>
      <c r="JH24" s="107"/>
      <c r="JI24" s="107"/>
      <c r="JJ24" s="91"/>
    </row>
    <row r="25" spans="1:270" x14ac:dyDescent="0.25">
      <c r="A25" s="25">
        <v>19</v>
      </c>
      <c r="B25" s="207">
        <v>42569</v>
      </c>
      <c r="C25" s="35" t="s">
        <v>117</v>
      </c>
      <c r="D25" s="273">
        <v>1955</v>
      </c>
      <c r="E25" s="258">
        <v>2</v>
      </c>
      <c r="F25" s="274">
        <v>12</v>
      </c>
      <c r="G25" s="322">
        <v>21</v>
      </c>
      <c r="H25" s="274">
        <v>606.29999999999995</v>
      </c>
      <c r="I25" s="274"/>
      <c r="J25" s="274"/>
      <c r="K25" s="274">
        <v>816.54</v>
      </c>
      <c r="L25" s="274">
        <v>682.71</v>
      </c>
      <c r="M25" s="274">
        <v>216.96</v>
      </c>
      <c r="N25" s="274">
        <v>153.9</v>
      </c>
      <c r="O25" s="324">
        <v>626.52</v>
      </c>
      <c r="P25" s="324">
        <v>444.47</v>
      </c>
      <c r="Q25" s="324"/>
      <c r="R25" s="324"/>
      <c r="S25" s="324"/>
      <c r="T25" s="324"/>
      <c r="U25" s="324"/>
      <c r="V25" s="324">
        <v>6.82</v>
      </c>
      <c r="W25" s="324"/>
      <c r="X25" s="324">
        <v>75.88</v>
      </c>
      <c r="Y25" s="324">
        <v>293.27999999999997</v>
      </c>
      <c r="Z25" s="324">
        <v>253.9</v>
      </c>
      <c r="AA25" s="324"/>
      <c r="AB25" s="324"/>
      <c r="AC25" s="324"/>
      <c r="AD25" s="324"/>
      <c r="AE25" s="324">
        <v>492.84</v>
      </c>
      <c r="AF25" s="324">
        <v>442.58</v>
      </c>
      <c r="AG25" s="324"/>
      <c r="AH25" s="324"/>
      <c r="AI25" s="324">
        <v>77412.36</v>
      </c>
      <c r="AJ25" s="324">
        <v>61539.87</v>
      </c>
      <c r="AK25" s="324">
        <f t="shared" si="0"/>
        <v>20787.428571428572</v>
      </c>
      <c r="AL25" s="324"/>
      <c r="AM25" s="324">
        <f t="shared" si="1"/>
        <v>56624.931428571428</v>
      </c>
      <c r="AN25" s="324">
        <f t="shared" si="2"/>
        <v>45014.658109805721</v>
      </c>
      <c r="AO25" s="324">
        <f t="shared" si="3"/>
        <v>59071.07142857142</v>
      </c>
      <c r="AP25" s="324">
        <f t="shared" si="4"/>
        <v>47074.918109805723</v>
      </c>
      <c r="AQ25" s="433">
        <f t="shared" si="5"/>
        <v>95869.578648357812</v>
      </c>
      <c r="AR25" s="323">
        <v>24600</v>
      </c>
      <c r="AS25" s="335"/>
      <c r="AT25" s="324">
        <v>434.1</v>
      </c>
      <c r="AU25" s="335">
        <v>2512.9</v>
      </c>
      <c r="AV25" s="335">
        <v>27846.15</v>
      </c>
      <c r="AW25" s="335">
        <v>11263.27</v>
      </c>
      <c r="AX25" s="324">
        <f t="shared" si="6"/>
        <v>512.30864835782529</v>
      </c>
      <c r="AY25" s="324">
        <v>436.48</v>
      </c>
      <c r="AZ25" s="324">
        <v>116.6</v>
      </c>
      <c r="BA25" s="324">
        <v>515.70000000000005</v>
      </c>
      <c r="BB25" s="324">
        <v>49.68</v>
      </c>
      <c r="BC25" s="324">
        <v>24239.05</v>
      </c>
      <c r="BD25" s="324">
        <v>143.24</v>
      </c>
      <c r="BE25" s="335">
        <v>2620.79</v>
      </c>
      <c r="BF25" s="335"/>
      <c r="BG25" s="335">
        <v>31.88</v>
      </c>
      <c r="BH25" s="335"/>
      <c r="BI25" s="335">
        <v>127.64</v>
      </c>
      <c r="BJ25" s="483"/>
      <c r="BK25" s="484">
        <v>311.31</v>
      </c>
      <c r="BL25" s="484">
        <v>108.48</v>
      </c>
      <c r="BM25" s="484"/>
      <c r="BN25" s="485"/>
      <c r="BO25" s="484"/>
      <c r="BP25" s="484"/>
      <c r="BQ25" s="725">
        <f t="shared" si="7"/>
        <v>-36798.507219786392</v>
      </c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  <c r="GN25" s="107"/>
      <c r="GO25" s="107"/>
      <c r="GP25" s="107"/>
      <c r="GQ25" s="107"/>
      <c r="GR25" s="107"/>
      <c r="GS25" s="107"/>
      <c r="GT25" s="107"/>
      <c r="GU25" s="107"/>
      <c r="GV25" s="107"/>
      <c r="GW25" s="107"/>
      <c r="GX25" s="107"/>
      <c r="GY25" s="107"/>
      <c r="GZ25" s="107"/>
      <c r="HA25" s="107"/>
      <c r="HB25" s="107"/>
      <c r="HC25" s="107"/>
      <c r="HD25" s="107"/>
      <c r="HE25" s="107"/>
      <c r="HF25" s="107"/>
      <c r="HG25" s="107"/>
      <c r="HH25" s="107"/>
      <c r="HI25" s="107"/>
      <c r="HJ25" s="107"/>
      <c r="HK25" s="107"/>
      <c r="HL25" s="107"/>
      <c r="HM25" s="107"/>
      <c r="HN25" s="107"/>
      <c r="HO25" s="107"/>
      <c r="HP25" s="107"/>
      <c r="HQ25" s="107"/>
      <c r="HR25" s="107"/>
      <c r="HS25" s="107"/>
      <c r="HT25" s="107"/>
      <c r="HU25" s="107"/>
      <c r="HV25" s="107"/>
      <c r="HW25" s="107"/>
      <c r="HX25" s="107"/>
      <c r="HY25" s="107"/>
      <c r="HZ25" s="107"/>
      <c r="IA25" s="107"/>
      <c r="IB25" s="107"/>
      <c r="IC25" s="107"/>
      <c r="ID25" s="107"/>
      <c r="IE25" s="107"/>
      <c r="IF25" s="107"/>
      <c r="IG25" s="107"/>
      <c r="IH25" s="107"/>
      <c r="II25" s="107"/>
      <c r="IJ25" s="107"/>
      <c r="IK25" s="107"/>
      <c r="IL25" s="107"/>
      <c r="IM25" s="107"/>
      <c r="IN25" s="107"/>
      <c r="IO25" s="107"/>
      <c r="IP25" s="107"/>
      <c r="IQ25" s="107"/>
      <c r="IR25" s="107"/>
      <c r="IS25" s="107"/>
      <c r="IT25" s="107"/>
      <c r="IU25" s="107"/>
      <c r="IV25" s="107"/>
      <c r="IW25" s="107"/>
      <c r="IX25" s="107"/>
      <c r="IY25" s="107"/>
      <c r="IZ25" s="107"/>
      <c r="JA25" s="107"/>
      <c r="JB25" s="107"/>
      <c r="JC25" s="107"/>
      <c r="JD25" s="107"/>
      <c r="JE25" s="107"/>
      <c r="JF25" s="107"/>
      <c r="JG25" s="107"/>
      <c r="JH25" s="107"/>
      <c r="JI25" s="107"/>
      <c r="JJ25" s="91"/>
    </row>
    <row r="26" spans="1:270" x14ac:dyDescent="0.25">
      <c r="A26" s="25">
        <v>20</v>
      </c>
      <c r="B26" s="206"/>
      <c r="C26" s="35" t="s">
        <v>118</v>
      </c>
      <c r="D26" s="273">
        <v>1989</v>
      </c>
      <c r="E26" s="258">
        <v>5</v>
      </c>
      <c r="F26" s="274">
        <v>75</v>
      </c>
      <c r="G26" s="322">
        <v>146</v>
      </c>
      <c r="H26" s="274">
        <v>3492.24</v>
      </c>
      <c r="I26" s="274">
        <v>26906.25</v>
      </c>
      <c r="J26" s="274">
        <v>31168.61</v>
      </c>
      <c r="K26" s="274">
        <v>9015.75</v>
      </c>
      <c r="L26" s="274">
        <v>10697.09</v>
      </c>
      <c r="M26" s="274">
        <v>2395.38</v>
      </c>
      <c r="N26" s="274">
        <v>2239.92</v>
      </c>
      <c r="O26" s="324">
        <v>6917.22</v>
      </c>
      <c r="P26" s="324">
        <v>5759.35</v>
      </c>
      <c r="Q26" s="324"/>
      <c r="R26" s="324"/>
      <c r="S26" s="324"/>
      <c r="T26" s="324">
        <v>3327.82</v>
      </c>
      <c r="U26" s="324"/>
      <c r="V26" s="324">
        <v>171.6</v>
      </c>
      <c r="W26" s="324"/>
      <c r="X26" s="324">
        <v>1814.11</v>
      </c>
      <c r="Y26" s="324">
        <v>3236.43</v>
      </c>
      <c r="Z26" s="324">
        <v>3182.61</v>
      </c>
      <c r="AA26" s="324"/>
      <c r="AB26" s="324"/>
      <c r="AC26" s="324"/>
      <c r="AD26" s="324"/>
      <c r="AE26" s="324"/>
      <c r="AF26" s="324">
        <v>189.04</v>
      </c>
      <c r="AG26" s="324">
        <v>4578.3</v>
      </c>
      <c r="AH26" s="324">
        <v>4595.95</v>
      </c>
      <c r="AI26" s="324">
        <v>600679.74</v>
      </c>
      <c r="AJ26" s="324">
        <v>574869.19999999995</v>
      </c>
      <c r="AK26" s="324">
        <f t="shared" si="0"/>
        <v>62803.278571428586</v>
      </c>
      <c r="AL26" s="324"/>
      <c r="AM26" s="324">
        <f t="shared" si="1"/>
        <v>537876.46142857138</v>
      </c>
      <c r="AN26" s="324">
        <f t="shared" si="2"/>
        <v>514764.50842219795</v>
      </c>
      <c r="AO26" s="324">
        <f t="shared" si="3"/>
        <v>590925.79142857145</v>
      </c>
      <c r="AP26" s="324">
        <f t="shared" si="4"/>
        <v>577910.60842219787</v>
      </c>
      <c r="AQ26" s="433">
        <f t="shared" si="5"/>
        <v>617589.00725571683</v>
      </c>
      <c r="AR26" s="323">
        <v>23100</v>
      </c>
      <c r="AS26" s="335"/>
      <c r="AT26" s="324">
        <v>2456.09</v>
      </c>
      <c r="AU26" s="335">
        <v>28172.59</v>
      </c>
      <c r="AV26" s="335">
        <v>157548.75</v>
      </c>
      <c r="AW26" s="335">
        <v>64619.3</v>
      </c>
      <c r="AX26" s="324">
        <f t="shared" si="6"/>
        <v>2950.8572557168595</v>
      </c>
      <c r="AY26" s="324">
        <v>2469.5300000000002</v>
      </c>
      <c r="AZ26" s="324">
        <v>659.73</v>
      </c>
      <c r="BA26" s="324">
        <v>6039.71</v>
      </c>
      <c r="BB26" s="324">
        <v>548.04</v>
      </c>
      <c r="BC26" s="324">
        <v>137140.29999999999</v>
      </c>
      <c r="BD26" s="324">
        <v>810.43</v>
      </c>
      <c r="BE26" s="335">
        <v>14828.07</v>
      </c>
      <c r="BF26" s="335"/>
      <c r="BG26" s="335">
        <v>180.36</v>
      </c>
      <c r="BH26" s="335">
        <v>166063.97</v>
      </c>
      <c r="BI26" s="335">
        <v>1448.61</v>
      </c>
      <c r="BJ26" s="483"/>
      <c r="BK26" s="484">
        <v>3458.22</v>
      </c>
      <c r="BL26" s="484">
        <v>1197.81</v>
      </c>
      <c r="BM26" s="484">
        <v>3896.64</v>
      </c>
      <c r="BN26" s="485"/>
      <c r="BO26" s="484"/>
      <c r="BP26" s="484"/>
      <c r="BQ26" s="725">
        <f t="shared" si="7"/>
        <v>-26663.215827145381</v>
      </c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  <c r="HJ26" s="107"/>
      <c r="HK26" s="107"/>
      <c r="HL26" s="107"/>
      <c r="HM26" s="107"/>
      <c r="HN26" s="107"/>
      <c r="HO26" s="107"/>
      <c r="HP26" s="107"/>
      <c r="HQ26" s="107"/>
      <c r="HR26" s="107"/>
      <c r="HS26" s="107"/>
      <c r="HT26" s="107"/>
      <c r="HU26" s="107"/>
      <c r="HV26" s="107"/>
      <c r="HW26" s="107"/>
      <c r="HX26" s="107"/>
      <c r="HY26" s="107"/>
      <c r="HZ26" s="107"/>
      <c r="IA26" s="107"/>
      <c r="IB26" s="107"/>
      <c r="IC26" s="107"/>
      <c r="ID26" s="107"/>
      <c r="IE26" s="107"/>
      <c r="IF26" s="107"/>
      <c r="IG26" s="107"/>
      <c r="IH26" s="107"/>
      <c r="II26" s="107"/>
      <c r="IJ26" s="107"/>
      <c r="IK26" s="107"/>
      <c r="IL26" s="107"/>
      <c r="IM26" s="107"/>
      <c r="IN26" s="107"/>
      <c r="IO26" s="107"/>
      <c r="IP26" s="107"/>
      <c r="IQ26" s="107"/>
      <c r="IR26" s="107"/>
      <c r="IS26" s="107"/>
      <c r="IT26" s="107"/>
      <c r="IU26" s="107"/>
      <c r="IV26" s="107"/>
      <c r="IW26" s="107"/>
      <c r="IX26" s="107"/>
      <c r="IY26" s="107"/>
      <c r="IZ26" s="107"/>
      <c r="JA26" s="107"/>
      <c r="JB26" s="107"/>
      <c r="JC26" s="107"/>
      <c r="JD26" s="107"/>
      <c r="JE26" s="107"/>
      <c r="JF26" s="107"/>
      <c r="JG26" s="107"/>
      <c r="JH26" s="107"/>
      <c r="JI26" s="107"/>
      <c r="JJ26" s="91"/>
    </row>
    <row r="27" spans="1:270" x14ac:dyDescent="0.25">
      <c r="A27" s="25">
        <v>21</v>
      </c>
      <c r="B27" s="206"/>
      <c r="C27" s="35" t="s">
        <v>119</v>
      </c>
      <c r="D27" s="273">
        <v>1989</v>
      </c>
      <c r="E27" s="258">
        <v>5</v>
      </c>
      <c r="F27" s="274">
        <v>75</v>
      </c>
      <c r="G27" s="322">
        <v>137</v>
      </c>
      <c r="H27" s="274">
        <v>3454.59</v>
      </c>
      <c r="I27" s="274">
        <v>26547.5</v>
      </c>
      <c r="J27" s="274">
        <v>30349.34</v>
      </c>
      <c r="K27" s="274"/>
      <c r="L27" s="274">
        <v>138.4</v>
      </c>
      <c r="M27" s="274"/>
      <c r="N27" s="274"/>
      <c r="O27" s="324"/>
      <c r="P27" s="324"/>
      <c r="Q27" s="324"/>
      <c r="R27" s="324"/>
      <c r="S27" s="324"/>
      <c r="T27" s="324">
        <v>980.41</v>
      </c>
      <c r="U27" s="324"/>
      <c r="V27" s="324">
        <v>51.13</v>
      </c>
      <c r="W27" s="324"/>
      <c r="X27" s="324">
        <v>540.73</v>
      </c>
      <c r="Y27" s="324">
        <v>2413.86</v>
      </c>
      <c r="Z27" s="324">
        <v>2681.21</v>
      </c>
      <c r="AA27" s="324"/>
      <c r="AB27" s="324"/>
      <c r="AC27" s="324"/>
      <c r="AD27" s="324"/>
      <c r="AE27" s="324"/>
      <c r="AF27" s="324">
        <v>114.27</v>
      </c>
      <c r="AG27" s="324">
        <v>1108.79</v>
      </c>
      <c r="AH27" s="324">
        <v>1119.54</v>
      </c>
      <c r="AI27" s="324">
        <v>635460.81000000006</v>
      </c>
      <c r="AJ27" s="324">
        <v>616256.6</v>
      </c>
      <c r="AK27" s="324">
        <f t="shared" si="0"/>
        <v>68278.700000000012</v>
      </c>
      <c r="AL27" s="324"/>
      <c r="AM27" s="324">
        <f t="shared" si="1"/>
        <v>567182.1100000001</v>
      </c>
      <c r="AN27" s="324">
        <f t="shared" si="2"/>
        <v>550041.34509793925</v>
      </c>
      <c r="AO27" s="324">
        <f t="shared" si="3"/>
        <v>597252.26000000013</v>
      </c>
      <c r="AP27" s="324">
        <f t="shared" si="4"/>
        <v>586016.37509793928</v>
      </c>
      <c r="AQ27" s="433">
        <f t="shared" si="5"/>
        <v>560625.74392797367</v>
      </c>
      <c r="AR27" s="323"/>
      <c r="AS27" s="335"/>
      <c r="AT27" s="324">
        <v>2475.23</v>
      </c>
      <c r="AU27" s="335">
        <v>31497.35</v>
      </c>
      <c r="AV27" s="335">
        <v>158777.34</v>
      </c>
      <c r="AW27" s="335">
        <v>64222.82</v>
      </c>
      <c r="AX27" s="324">
        <f t="shared" si="6"/>
        <v>2919.0439279737093</v>
      </c>
      <c r="AY27" s="324">
        <v>2488.79</v>
      </c>
      <c r="AZ27" s="324">
        <v>664.87</v>
      </c>
      <c r="BA27" s="324">
        <v>1151.47</v>
      </c>
      <c r="BB27" s="324">
        <v>548.16</v>
      </c>
      <c r="BC27" s="324">
        <v>138209.74</v>
      </c>
      <c r="BD27" s="324">
        <v>816.75</v>
      </c>
      <c r="BE27" s="335">
        <v>14943.69</v>
      </c>
      <c r="BF27" s="335">
        <v>2520</v>
      </c>
      <c r="BG27" s="335">
        <v>181.76</v>
      </c>
      <c r="BH27" s="335">
        <v>131104.88</v>
      </c>
      <c r="BI27" s="335">
        <v>1376.85</v>
      </c>
      <c r="BJ27" s="483"/>
      <c r="BK27" s="484"/>
      <c r="BL27" s="484"/>
      <c r="BM27" s="484"/>
      <c r="BN27" s="486"/>
      <c r="BO27" s="484"/>
      <c r="BP27" s="484">
        <v>6727</v>
      </c>
      <c r="BQ27" s="725">
        <f t="shared" si="7"/>
        <v>36626.516072026454</v>
      </c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  <c r="HH27" s="107"/>
      <c r="HI27" s="107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7"/>
      <c r="HU27" s="107"/>
      <c r="HV27" s="107"/>
      <c r="HW27" s="107"/>
      <c r="HX27" s="107"/>
      <c r="HY27" s="107"/>
      <c r="HZ27" s="107"/>
      <c r="IA27" s="107"/>
      <c r="IB27" s="107"/>
      <c r="IC27" s="107"/>
      <c r="ID27" s="107"/>
      <c r="IE27" s="107"/>
      <c r="IF27" s="107"/>
      <c r="IG27" s="107"/>
      <c r="IH27" s="107"/>
      <c r="II27" s="107"/>
      <c r="IJ27" s="107"/>
      <c r="IK27" s="107"/>
      <c r="IL27" s="107"/>
      <c r="IM27" s="107"/>
      <c r="IN27" s="107"/>
      <c r="IO27" s="107"/>
      <c r="IP27" s="107"/>
      <c r="IQ27" s="107"/>
      <c r="IR27" s="107"/>
      <c r="IS27" s="107"/>
      <c r="IT27" s="107"/>
      <c r="IU27" s="107"/>
      <c r="IV27" s="107"/>
      <c r="IW27" s="107"/>
      <c r="IX27" s="107"/>
      <c r="IY27" s="107"/>
      <c r="IZ27" s="107"/>
      <c r="JA27" s="107"/>
      <c r="JB27" s="107"/>
      <c r="JC27" s="107"/>
      <c r="JD27" s="107"/>
      <c r="JE27" s="107"/>
      <c r="JF27" s="107"/>
      <c r="JG27" s="107"/>
      <c r="JH27" s="107"/>
      <c r="JI27" s="107"/>
      <c r="JJ27" s="91"/>
    </row>
    <row r="28" spans="1:270" s="690" customFormat="1" x14ac:dyDescent="0.25">
      <c r="A28" s="26">
        <v>22</v>
      </c>
      <c r="B28" s="691"/>
      <c r="C28" s="692" t="s">
        <v>120</v>
      </c>
      <c r="D28" s="258">
        <v>1993</v>
      </c>
      <c r="E28" s="258">
        <v>5</v>
      </c>
      <c r="F28" s="274">
        <v>100</v>
      </c>
      <c r="G28" s="322">
        <v>227</v>
      </c>
      <c r="H28" s="274">
        <v>6046.32</v>
      </c>
      <c r="I28" s="274"/>
      <c r="J28" s="274" t="s">
        <v>127</v>
      </c>
      <c r="K28" s="274"/>
      <c r="L28" s="274">
        <v>26.18</v>
      </c>
      <c r="M28" s="274">
        <v>835.75</v>
      </c>
      <c r="N28" s="274">
        <v>830.05</v>
      </c>
      <c r="O28" s="324">
        <v>2413.19</v>
      </c>
      <c r="P28" s="324">
        <v>2396.75</v>
      </c>
      <c r="Q28" s="324"/>
      <c r="R28" s="324"/>
      <c r="S28" s="324"/>
      <c r="T28" s="324">
        <v>112.17</v>
      </c>
      <c r="U28" s="324"/>
      <c r="V28" s="324">
        <v>6.47</v>
      </c>
      <c r="W28" s="324"/>
      <c r="X28" s="324">
        <v>72.069999999999993</v>
      </c>
      <c r="Y28" s="324">
        <v>8868.6299999999992</v>
      </c>
      <c r="Z28" s="324">
        <v>9764.5400000000009</v>
      </c>
      <c r="AA28" s="324">
        <v>10879.63</v>
      </c>
      <c r="AB28" s="324">
        <v>8509.2000000000007</v>
      </c>
      <c r="AC28" s="324">
        <v>2320.13</v>
      </c>
      <c r="AD28" s="324">
        <v>1891.45</v>
      </c>
      <c r="AE28" s="324"/>
      <c r="AF28" s="324">
        <v>22.28</v>
      </c>
      <c r="AG28" s="324">
        <v>11594.57</v>
      </c>
      <c r="AH28" s="324">
        <v>12645.78</v>
      </c>
      <c r="AI28" s="324">
        <v>1007008.77</v>
      </c>
      <c r="AJ28" s="324">
        <v>980752.97</v>
      </c>
      <c r="AK28" s="324">
        <f t="shared" si="0"/>
        <v>76578.542857142878</v>
      </c>
      <c r="AL28" s="324"/>
      <c r="AM28" s="324">
        <f t="shared" si="1"/>
        <v>930430.22714285715</v>
      </c>
      <c r="AN28" s="324">
        <f t="shared" si="2"/>
        <v>906171.06407934427</v>
      </c>
      <c r="AO28" s="324">
        <f t="shared" si="3"/>
        <v>967342.12714285706</v>
      </c>
      <c r="AP28" s="324">
        <v>942448</v>
      </c>
      <c r="AQ28" s="433">
        <f t="shared" si="5"/>
        <v>941511.71229216387</v>
      </c>
      <c r="AR28" s="323"/>
      <c r="AS28" s="335"/>
      <c r="AT28" s="324">
        <v>4335.91</v>
      </c>
      <c r="AU28" s="335">
        <v>20206.21</v>
      </c>
      <c r="AV28" s="335">
        <v>278131.83</v>
      </c>
      <c r="AW28" s="335">
        <v>112451.21</v>
      </c>
      <c r="AX28" s="324">
        <f t="shared" si="6"/>
        <v>5108.9922921637581</v>
      </c>
      <c r="AY28" s="324">
        <v>4359.6400000000003</v>
      </c>
      <c r="AZ28" s="324">
        <v>1164.6500000000001</v>
      </c>
      <c r="BA28" s="324">
        <v>40351.07</v>
      </c>
      <c r="BB28" s="324">
        <v>1808.28</v>
      </c>
      <c r="BC28" s="324">
        <v>242103.4</v>
      </c>
      <c r="BD28" s="324">
        <v>1430.7</v>
      </c>
      <c r="BE28" s="335">
        <v>26176.97</v>
      </c>
      <c r="BF28" s="335">
        <v>2520</v>
      </c>
      <c r="BG28" s="335">
        <v>318.39</v>
      </c>
      <c r="BH28" s="335">
        <v>182984.41</v>
      </c>
      <c r="BI28" s="335">
        <v>4433.05</v>
      </c>
      <c r="BJ28" s="483"/>
      <c r="BK28" s="484"/>
      <c r="BL28" s="484"/>
      <c r="BM28" s="484"/>
      <c r="BN28" s="486"/>
      <c r="BO28" s="484">
        <v>6900</v>
      </c>
      <c r="BP28" s="484">
        <v>6727</v>
      </c>
      <c r="BQ28" s="725">
        <f t="shared" si="7"/>
        <v>25830.414850693196</v>
      </c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7"/>
      <c r="HU28" s="107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  <c r="IF28" s="107"/>
      <c r="IG28" s="107"/>
      <c r="IH28" s="107"/>
      <c r="II28" s="107"/>
      <c r="IJ28" s="107"/>
      <c r="IK28" s="107"/>
      <c r="IL28" s="107"/>
      <c r="IM28" s="107"/>
      <c r="IN28" s="107"/>
      <c r="IO28" s="107"/>
      <c r="IP28" s="107"/>
      <c r="IQ28" s="107"/>
      <c r="IR28" s="107"/>
      <c r="IS28" s="107"/>
      <c r="IT28" s="107"/>
      <c r="IU28" s="107"/>
      <c r="IV28" s="107"/>
      <c r="IW28" s="107"/>
      <c r="IX28" s="107"/>
      <c r="IY28" s="107"/>
      <c r="IZ28" s="107"/>
      <c r="JA28" s="107"/>
      <c r="JB28" s="107"/>
      <c r="JC28" s="107"/>
      <c r="JD28" s="107"/>
      <c r="JE28" s="107"/>
      <c r="JF28" s="107"/>
      <c r="JG28" s="107"/>
      <c r="JH28" s="107"/>
      <c r="JI28" s="107"/>
      <c r="JJ28" s="91"/>
    </row>
    <row r="29" spans="1:270" x14ac:dyDescent="0.25">
      <c r="A29" s="25">
        <v>23</v>
      </c>
      <c r="B29" s="206"/>
      <c r="C29" s="35" t="s">
        <v>121</v>
      </c>
      <c r="D29" s="273">
        <v>1989</v>
      </c>
      <c r="E29" s="258">
        <v>5</v>
      </c>
      <c r="F29" s="274">
        <v>76</v>
      </c>
      <c r="G29" s="322">
        <v>141</v>
      </c>
      <c r="H29" s="274">
        <v>3481.7</v>
      </c>
      <c r="I29" s="274">
        <v>24395.07</v>
      </c>
      <c r="J29" s="274">
        <v>27211.94</v>
      </c>
      <c r="K29" s="274"/>
      <c r="L29" s="274">
        <v>326</v>
      </c>
      <c r="M29" s="274"/>
      <c r="N29" s="274"/>
      <c r="O29" s="324"/>
      <c r="P29" s="324"/>
      <c r="Q29" s="324">
        <v>31500</v>
      </c>
      <c r="R29" s="324">
        <v>29211.46</v>
      </c>
      <c r="S29" s="324"/>
      <c r="T29" s="324">
        <v>3365.65</v>
      </c>
      <c r="U29" s="324"/>
      <c r="V29" s="324">
        <v>176.56</v>
      </c>
      <c r="W29" s="324"/>
      <c r="X29" s="324">
        <v>1907.97</v>
      </c>
      <c r="Y29" s="324">
        <v>2414.52</v>
      </c>
      <c r="Z29" s="324">
        <v>2500.66</v>
      </c>
      <c r="AA29" s="324"/>
      <c r="AB29" s="324"/>
      <c r="AC29" s="324"/>
      <c r="AD29" s="324"/>
      <c r="AE29" s="324"/>
      <c r="AF29" s="324">
        <v>233.78</v>
      </c>
      <c r="AG29" s="324">
        <v>5440.38</v>
      </c>
      <c r="AH29" s="324">
        <v>4857.5200000000004</v>
      </c>
      <c r="AI29" s="324">
        <v>640518.15</v>
      </c>
      <c r="AJ29" s="324">
        <v>594979.85</v>
      </c>
      <c r="AK29" s="324">
        <f t="shared" si="0"/>
        <v>69659.399999999994</v>
      </c>
      <c r="AL29" s="324"/>
      <c r="AM29" s="324">
        <f t="shared" si="1"/>
        <v>570858.75</v>
      </c>
      <c r="AN29" s="324">
        <f t="shared" si="2"/>
        <v>530272.95705232932</v>
      </c>
      <c r="AO29" s="324">
        <f t="shared" si="3"/>
        <v>634608.72</v>
      </c>
      <c r="AP29" s="324">
        <f t="shared" si="4"/>
        <v>600064.49705232936</v>
      </c>
      <c r="AQ29" s="433">
        <f t="shared" si="5"/>
        <v>615349.54121389973</v>
      </c>
      <c r="AR29" s="323"/>
      <c r="AS29" s="335">
        <v>31500</v>
      </c>
      <c r="AT29" s="324">
        <v>2493.77</v>
      </c>
      <c r="AU29" s="335">
        <v>22980.07</v>
      </c>
      <c r="AV29" s="335">
        <v>159965.96</v>
      </c>
      <c r="AW29" s="335">
        <v>64703.64</v>
      </c>
      <c r="AX29" s="324">
        <f t="shared" si="6"/>
        <v>2941.9512138997861</v>
      </c>
      <c r="AY29" s="324">
        <v>2507.42</v>
      </c>
      <c r="AZ29" s="324">
        <v>669.85</v>
      </c>
      <c r="BA29" s="324">
        <v>19274.810000000001</v>
      </c>
      <c r="BB29" s="324">
        <v>548.32000000000005</v>
      </c>
      <c r="BC29" s="324">
        <v>139244.37</v>
      </c>
      <c r="BD29" s="324">
        <v>822.86</v>
      </c>
      <c r="BE29" s="335">
        <v>15055.57</v>
      </c>
      <c r="BF29" s="335">
        <v>2524.84</v>
      </c>
      <c r="BG29" s="335">
        <v>183.13</v>
      </c>
      <c r="BH29" s="335">
        <v>141734.67000000001</v>
      </c>
      <c r="BI29" s="335">
        <v>1466.47</v>
      </c>
      <c r="BJ29" s="483"/>
      <c r="BK29" s="484"/>
      <c r="BL29" s="484"/>
      <c r="BM29" s="484"/>
      <c r="BN29" s="486"/>
      <c r="BO29" s="484"/>
      <c r="BP29" s="484">
        <v>6731.84</v>
      </c>
      <c r="BQ29" s="725">
        <f t="shared" si="7"/>
        <v>19259.178786100238</v>
      </c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7"/>
      <c r="HU29" s="107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/>
      <c r="IL29" s="107"/>
      <c r="IM29" s="107"/>
      <c r="IN29" s="107"/>
      <c r="IO29" s="107"/>
      <c r="IP29" s="107"/>
      <c r="IQ29" s="107"/>
      <c r="IR29" s="107"/>
      <c r="IS29" s="107"/>
      <c r="IT29" s="107"/>
      <c r="IU29" s="107"/>
      <c r="IV29" s="107"/>
      <c r="IW29" s="107"/>
      <c r="IX29" s="107"/>
      <c r="IY29" s="107"/>
      <c r="IZ29" s="107"/>
      <c r="JA29" s="107"/>
      <c r="JB29" s="107"/>
      <c r="JC29" s="107"/>
      <c r="JD29" s="107"/>
      <c r="JE29" s="107"/>
      <c r="JF29" s="107"/>
      <c r="JG29" s="107"/>
      <c r="JH29" s="107"/>
      <c r="JI29" s="107"/>
      <c r="JJ29" s="91"/>
    </row>
    <row r="30" spans="1:270" x14ac:dyDescent="0.25">
      <c r="A30" s="26">
        <v>24</v>
      </c>
      <c r="B30" s="211"/>
      <c r="C30" s="37" t="s">
        <v>122</v>
      </c>
      <c r="D30" s="480">
        <v>1957</v>
      </c>
      <c r="E30" s="480">
        <v>1</v>
      </c>
      <c r="F30" s="481">
        <v>4</v>
      </c>
      <c r="G30" s="482">
        <v>11</v>
      </c>
      <c r="H30" s="274">
        <v>132.6</v>
      </c>
      <c r="I30" s="274"/>
      <c r="J30" s="274"/>
      <c r="K30" s="274"/>
      <c r="L30" s="274"/>
      <c r="M30" s="274"/>
      <c r="N30" s="27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>
        <f t="shared" si="0"/>
        <v>0</v>
      </c>
      <c r="AL30" s="324"/>
      <c r="AM30" s="324">
        <f t="shared" si="1"/>
        <v>0</v>
      </c>
      <c r="AN30" s="324">
        <v>0</v>
      </c>
      <c r="AO30" s="324">
        <f t="shared" si="3"/>
        <v>0</v>
      </c>
      <c r="AP30" s="324">
        <f t="shared" si="4"/>
        <v>0</v>
      </c>
      <c r="AQ30" s="433">
        <f t="shared" si="5"/>
        <v>1050.5037518922111</v>
      </c>
      <c r="AR30" s="323"/>
      <c r="AS30" s="335"/>
      <c r="AT30" s="324"/>
      <c r="AU30" s="335"/>
      <c r="AV30" s="335">
        <v>473.79</v>
      </c>
      <c r="AW30" s="335"/>
      <c r="AX30" s="324">
        <f t="shared" si="6"/>
        <v>112.04375189221118</v>
      </c>
      <c r="AY30" s="324"/>
      <c r="AZ30" s="324"/>
      <c r="BA30" s="324"/>
      <c r="BB30" s="324"/>
      <c r="BC30" s="324">
        <v>428.29</v>
      </c>
      <c r="BD30" s="324"/>
      <c r="BE30" s="335">
        <v>33.06</v>
      </c>
      <c r="BF30" s="335"/>
      <c r="BG30" s="335">
        <v>3.32</v>
      </c>
      <c r="BH30" s="335"/>
      <c r="BI30" s="335"/>
      <c r="BJ30" s="483"/>
      <c r="BK30" s="484"/>
      <c r="BL30" s="484"/>
      <c r="BM30" s="484"/>
      <c r="BN30" s="485"/>
      <c r="BO30" s="484"/>
      <c r="BP30" s="484"/>
      <c r="BQ30" s="725">
        <f t="shared" si="7"/>
        <v>-1050.5037518922111</v>
      </c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  <c r="HH30" s="107"/>
      <c r="HI30" s="107"/>
      <c r="HJ30" s="107"/>
      <c r="HK30" s="107"/>
      <c r="HL30" s="107"/>
      <c r="HM30" s="107"/>
      <c r="HN30" s="107"/>
      <c r="HO30" s="107"/>
      <c r="HP30" s="107"/>
      <c r="HQ30" s="107"/>
      <c r="HR30" s="107"/>
      <c r="HS30" s="107"/>
      <c r="HT30" s="107"/>
      <c r="HU30" s="107"/>
      <c r="HV30" s="107"/>
      <c r="HW30" s="107"/>
      <c r="HX30" s="107"/>
      <c r="HY30" s="107"/>
      <c r="HZ30" s="107"/>
      <c r="IA30" s="107"/>
      <c r="IB30" s="107"/>
      <c r="IC30" s="107"/>
      <c r="ID30" s="107"/>
      <c r="IE30" s="107"/>
      <c r="IF30" s="107"/>
      <c r="IG30" s="107"/>
      <c r="IH30" s="107"/>
      <c r="II30" s="107"/>
      <c r="IJ30" s="107"/>
      <c r="IK30" s="107"/>
      <c r="IL30" s="107"/>
      <c r="IM30" s="107"/>
      <c r="IN30" s="107"/>
      <c r="IO30" s="107"/>
      <c r="IP30" s="107"/>
      <c r="IQ30" s="107"/>
      <c r="IR30" s="107"/>
      <c r="IS30" s="107"/>
      <c r="IT30" s="107"/>
      <c r="IU30" s="107"/>
      <c r="IV30" s="107"/>
      <c r="IW30" s="107"/>
      <c r="IX30" s="107"/>
      <c r="IY30" s="107"/>
      <c r="IZ30" s="107"/>
      <c r="JA30" s="107"/>
      <c r="JB30" s="107"/>
      <c r="JC30" s="107"/>
      <c r="JD30" s="107"/>
      <c r="JE30" s="107"/>
      <c r="JF30" s="107"/>
      <c r="JG30" s="107"/>
      <c r="JH30" s="107"/>
      <c r="JI30" s="107"/>
      <c r="JJ30" s="91"/>
    </row>
    <row r="31" spans="1:270" x14ac:dyDescent="0.25">
      <c r="A31" s="26">
        <v>25</v>
      </c>
      <c r="B31" s="211"/>
      <c r="C31" s="37" t="s">
        <v>123</v>
      </c>
      <c r="D31" s="325">
        <v>1957</v>
      </c>
      <c r="E31" s="325">
        <v>1</v>
      </c>
      <c r="F31" s="326">
        <v>4</v>
      </c>
      <c r="G31" s="327">
        <v>5</v>
      </c>
      <c r="H31" s="274">
        <v>131.19999999999999</v>
      </c>
      <c r="I31" s="274"/>
      <c r="J31" s="274"/>
      <c r="K31" s="274"/>
      <c r="L31" s="274"/>
      <c r="M31" s="274"/>
      <c r="N31" s="274"/>
      <c r="O31" s="324"/>
      <c r="P31" s="324"/>
      <c r="Q31" s="324"/>
      <c r="R31" s="324"/>
      <c r="S31" s="324"/>
      <c r="T31" s="324"/>
      <c r="U31" s="324"/>
      <c r="V31" s="324">
        <v>3.78</v>
      </c>
      <c r="W31" s="324"/>
      <c r="X31" s="324">
        <v>26.92</v>
      </c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>
        <v>13744.68</v>
      </c>
      <c r="AJ31" s="324">
        <v>11079.82</v>
      </c>
      <c r="AK31" s="324">
        <f t="shared" si="0"/>
        <v>0</v>
      </c>
      <c r="AL31" s="324"/>
      <c r="AM31" s="324">
        <f t="shared" si="1"/>
        <v>13744.68</v>
      </c>
      <c r="AN31" s="324">
        <f t="shared" si="2"/>
        <v>11079.82</v>
      </c>
      <c r="AO31" s="324">
        <f t="shared" si="3"/>
        <v>13744.68</v>
      </c>
      <c r="AP31" s="324">
        <f t="shared" si="4"/>
        <v>11110.52</v>
      </c>
      <c r="AQ31" s="433">
        <f t="shared" si="5"/>
        <v>13890.580786185959</v>
      </c>
      <c r="AR31" s="323"/>
      <c r="AS31" s="335"/>
      <c r="AT31" s="324">
        <v>93.94</v>
      </c>
      <c r="AU31" s="335">
        <v>64.87</v>
      </c>
      <c r="AV31" s="335">
        <v>6025.74</v>
      </c>
      <c r="AW31" s="335">
        <v>1597.66</v>
      </c>
      <c r="AX31" s="324">
        <f t="shared" si="6"/>
        <v>110.86078618595856</v>
      </c>
      <c r="AY31" s="324">
        <v>94.45</v>
      </c>
      <c r="AZ31" s="324">
        <v>25.23</v>
      </c>
      <c r="BA31" s="324"/>
      <c r="BB31" s="324"/>
      <c r="BC31" s="324">
        <v>5245.19</v>
      </c>
      <c r="BD31" s="324">
        <v>31</v>
      </c>
      <c r="BE31" s="335">
        <v>567.12</v>
      </c>
      <c r="BF31" s="335"/>
      <c r="BG31" s="335">
        <v>6.9</v>
      </c>
      <c r="BH31" s="335"/>
      <c r="BI31" s="335">
        <v>27.62</v>
      </c>
      <c r="BJ31" s="483"/>
      <c r="BK31" s="484"/>
      <c r="BL31" s="484"/>
      <c r="BM31" s="484"/>
      <c r="BN31" s="485"/>
      <c r="BO31" s="484"/>
      <c r="BP31" s="484"/>
      <c r="BQ31" s="725">
        <f t="shared" si="7"/>
        <v>-145.90078618595908</v>
      </c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  <c r="GN31" s="107"/>
      <c r="GO31" s="107"/>
      <c r="GP31" s="107"/>
      <c r="GQ31" s="107"/>
      <c r="GR31" s="107"/>
      <c r="GS31" s="107"/>
      <c r="GT31" s="107"/>
      <c r="GU31" s="107"/>
      <c r="GV31" s="107"/>
      <c r="GW31" s="107"/>
      <c r="GX31" s="107"/>
      <c r="GY31" s="107"/>
      <c r="GZ31" s="107"/>
      <c r="HA31" s="107"/>
      <c r="HB31" s="107"/>
      <c r="HC31" s="107"/>
      <c r="HD31" s="107"/>
      <c r="HE31" s="107"/>
      <c r="HF31" s="107"/>
      <c r="HG31" s="107"/>
      <c r="HH31" s="107"/>
      <c r="HI31" s="107"/>
      <c r="HJ31" s="107"/>
      <c r="HK31" s="107"/>
      <c r="HL31" s="107"/>
      <c r="HM31" s="107"/>
      <c r="HN31" s="107"/>
      <c r="HO31" s="107"/>
      <c r="HP31" s="107"/>
      <c r="HQ31" s="107"/>
      <c r="HR31" s="107"/>
      <c r="HS31" s="107"/>
      <c r="HT31" s="107"/>
      <c r="HU31" s="107"/>
      <c r="HV31" s="107"/>
      <c r="HW31" s="107"/>
      <c r="HX31" s="107"/>
      <c r="HY31" s="107"/>
      <c r="HZ31" s="107"/>
      <c r="IA31" s="107"/>
      <c r="IB31" s="107"/>
      <c r="IC31" s="107"/>
      <c r="ID31" s="107"/>
      <c r="IE31" s="107"/>
      <c r="IF31" s="107"/>
      <c r="IG31" s="107"/>
      <c r="IH31" s="107"/>
      <c r="II31" s="107"/>
      <c r="IJ31" s="107"/>
      <c r="IK31" s="107"/>
      <c r="IL31" s="107"/>
      <c r="IM31" s="107"/>
      <c r="IN31" s="107"/>
      <c r="IO31" s="107"/>
      <c r="IP31" s="107"/>
      <c r="IQ31" s="107"/>
      <c r="IR31" s="107"/>
      <c r="IS31" s="107"/>
      <c r="IT31" s="107"/>
      <c r="IU31" s="107"/>
      <c r="IV31" s="107"/>
      <c r="IW31" s="107"/>
      <c r="IX31" s="107"/>
      <c r="IY31" s="107"/>
      <c r="IZ31" s="107"/>
      <c r="JA31" s="107"/>
      <c r="JB31" s="107"/>
      <c r="JC31" s="107"/>
      <c r="JD31" s="107"/>
      <c r="JE31" s="107"/>
      <c r="JF31" s="107"/>
      <c r="JG31" s="107"/>
      <c r="JH31" s="107"/>
      <c r="JI31" s="107"/>
      <c r="JJ31" s="91"/>
    </row>
    <row r="32" spans="1:270" x14ac:dyDescent="0.25">
      <c r="A32" s="26">
        <v>26</v>
      </c>
      <c r="B32" s="211"/>
      <c r="C32" s="37" t="s">
        <v>124</v>
      </c>
      <c r="D32" s="325">
        <v>1957</v>
      </c>
      <c r="E32" s="325">
        <v>1</v>
      </c>
      <c r="F32" s="326">
        <v>4</v>
      </c>
      <c r="G32" s="327">
        <v>3</v>
      </c>
      <c r="H32" s="274">
        <v>123</v>
      </c>
      <c r="I32" s="274"/>
      <c r="J32" s="274"/>
      <c r="K32" s="274"/>
      <c r="L32" s="274"/>
      <c r="M32" s="274"/>
      <c r="N32" s="274"/>
      <c r="O32" s="324"/>
      <c r="P32" s="324"/>
      <c r="Q32" s="324"/>
      <c r="R32" s="324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>
        <v>9431.76</v>
      </c>
      <c r="AJ32" s="324">
        <v>8940.31</v>
      </c>
      <c r="AK32" s="324">
        <f t="shared" si="0"/>
        <v>0</v>
      </c>
      <c r="AL32" s="324"/>
      <c r="AM32" s="324">
        <f t="shared" si="1"/>
        <v>9431.76</v>
      </c>
      <c r="AN32" s="324">
        <f t="shared" si="2"/>
        <v>8940.31</v>
      </c>
      <c r="AO32" s="324">
        <f t="shared" si="3"/>
        <v>9431.76</v>
      </c>
      <c r="AP32" s="324">
        <f t="shared" si="4"/>
        <v>8940.31</v>
      </c>
      <c r="AQ32" s="433">
        <f t="shared" si="5"/>
        <v>13022.431987049336</v>
      </c>
      <c r="AR32" s="323"/>
      <c r="AS32" s="335"/>
      <c r="AT32" s="324">
        <v>88.06</v>
      </c>
      <c r="AU32" s="335">
        <v>60.82</v>
      </c>
      <c r="AV32" s="335">
        <v>5649.14</v>
      </c>
      <c r="AW32" s="335">
        <v>1497.79</v>
      </c>
      <c r="AX32" s="324">
        <f t="shared" si="6"/>
        <v>103.93198704933616</v>
      </c>
      <c r="AY32" s="324">
        <v>88.55</v>
      </c>
      <c r="AZ32" s="324">
        <v>23.66</v>
      </c>
      <c r="BA32" s="324"/>
      <c r="BB32" s="324"/>
      <c r="BC32" s="324">
        <v>4917.37</v>
      </c>
      <c r="BD32" s="324">
        <v>29.06</v>
      </c>
      <c r="BE32" s="335">
        <v>531.69000000000005</v>
      </c>
      <c r="BF32" s="335"/>
      <c r="BG32" s="335">
        <v>6.47</v>
      </c>
      <c r="BH32" s="335"/>
      <c r="BI32" s="335">
        <v>25.89</v>
      </c>
      <c r="BJ32" s="483"/>
      <c r="BK32" s="484"/>
      <c r="BL32" s="484"/>
      <c r="BM32" s="484"/>
      <c r="BN32" s="485"/>
      <c r="BO32" s="484"/>
      <c r="BP32" s="484"/>
      <c r="BQ32" s="725">
        <f t="shared" si="7"/>
        <v>-3590.6719870493362</v>
      </c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  <c r="HH32" s="107"/>
      <c r="HI32" s="107"/>
      <c r="HJ32" s="107"/>
      <c r="HK32" s="107"/>
      <c r="HL32" s="107"/>
      <c r="HM32" s="107"/>
      <c r="HN32" s="107"/>
      <c r="HO32" s="107"/>
      <c r="HP32" s="107"/>
      <c r="HQ32" s="107"/>
      <c r="HR32" s="107"/>
      <c r="HS32" s="107"/>
      <c r="HT32" s="107"/>
      <c r="HU32" s="107"/>
      <c r="HV32" s="107"/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7"/>
      <c r="IK32" s="107"/>
      <c r="IL32" s="107"/>
      <c r="IM32" s="107"/>
      <c r="IN32" s="107"/>
      <c r="IO32" s="107"/>
      <c r="IP32" s="107"/>
      <c r="IQ32" s="107"/>
      <c r="IR32" s="107"/>
      <c r="IS32" s="107"/>
      <c r="IT32" s="107"/>
      <c r="IU32" s="107"/>
      <c r="IV32" s="107"/>
      <c r="IW32" s="107"/>
      <c r="IX32" s="107"/>
      <c r="IY32" s="107"/>
      <c r="IZ32" s="107"/>
      <c r="JA32" s="107"/>
      <c r="JB32" s="107"/>
      <c r="JC32" s="107"/>
      <c r="JD32" s="107"/>
      <c r="JE32" s="107"/>
      <c r="JF32" s="107"/>
      <c r="JG32" s="107"/>
      <c r="JH32" s="107"/>
      <c r="JI32" s="107"/>
      <c r="JJ32" s="91"/>
    </row>
    <row r="33" spans="1:270" x14ac:dyDescent="0.25">
      <c r="A33" s="26">
        <v>27</v>
      </c>
      <c r="B33" s="211"/>
      <c r="C33" s="37" t="s">
        <v>125</v>
      </c>
      <c r="D33" s="325">
        <v>1957</v>
      </c>
      <c r="E33" s="325">
        <v>1</v>
      </c>
      <c r="F33" s="326">
        <v>4</v>
      </c>
      <c r="G33" s="327">
        <v>8</v>
      </c>
      <c r="H33" s="274">
        <v>141.5</v>
      </c>
      <c r="I33" s="326"/>
      <c r="J33" s="326"/>
      <c r="K33" s="326"/>
      <c r="L33" s="326"/>
      <c r="M33" s="326"/>
      <c r="N33" s="326"/>
      <c r="O33" s="324"/>
      <c r="P33" s="324"/>
      <c r="Q33" s="224"/>
      <c r="R33" s="224"/>
      <c r="S33" s="224"/>
      <c r="T33" s="224"/>
      <c r="U33" s="224"/>
      <c r="V33" s="224">
        <v>48.01</v>
      </c>
      <c r="W33" s="224"/>
      <c r="X33" s="224">
        <v>319.57</v>
      </c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>
        <v>10850.4</v>
      </c>
      <c r="AJ33" s="224">
        <v>17557.84</v>
      </c>
      <c r="AK33" s="324">
        <f t="shared" si="0"/>
        <v>0</v>
      </c>
      <c r="AL33" s="224"/>
      <c r="AM33" s="324">
        <f t="shared" si="1"/>
        <v>10850.4</v>
      </c>
      <c r="AN33" s="324">
        <f t="shared" si="2"/>
        <v>17557.84</v>
      </c>
      <c r="AO33" s="324">
        <f t="shared" si="3"/>
        <v>10850.4</v>
      </c>
      <c r="AP33" s="324">
        <f t="shared" si="4"/>
        <v>17925.419999999998</v>
      </c>
      <c r="AQ33" s="433">
        <f t="shared" si="5"/>
        <v>14981.10403388196</v>
      </c>
      <c r="AR33" s="323"/>
      <c r="AS33" s="179"/>
      <c r="AT33" s="324">
        <v>101.31</v>
      </c>
      <c r="AU33" s="179">
        <v>69.97</v>
      </c>
      <c r="AV33" s="179">
        <v>6498.84</v>
      </c>
      <c r="AW33" s="179">
        <v>1723.06</v>
      </c>
      <c r="AX33" s="324">
        <f t="shared" si="6"/>
        <v>119.5640338819599</v>
      </c>
      <c r="AY33" s="224">
        <v>101.87</v>
      </c>
      <c r="AZ33" s="224">
        <v>27.21</v>
      </c>
      <c r="BA33" s="224"/>
      <c r="BB33" s="224"/>
      <c r="BC33" s="324">
        <v>5656.98</v>
      </c>
      <c r="BD33" s="324">
        <v>33.43</v>
      </c>
      <c r="BE33" s="335">
        <v>611.65</v>
      </c>
      <c r="BF33" s="335"/>
      <c r="BG33" s="335">
        <v>7.44</v>
      </c>
      <c r="BH33" s="335"/>
      <c r="BI33" s="335">
        <v>29.78</v>
      </c>
      <c r="BJ33" s="483"/>
      <c r="BK33" s="484"/>
      <c r="BL33" s="484"/>
      <c r="BM33" s="484"/>
      <c r="BN33" s="473"/>
      <c r="BO33" s="474"/>
      <c r="BP33" s="474"/>
      <c r="BQ33" s="725">
        <f t="shared" si="7"/>
        <v>-4130.7040338819606</v>
      </c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7"/>
      <c r="GZ33" s="107"/>
      <c r="HA33" s="107"/>
      <c r="HB33" s="107"/>
      <c r="HC33" s="107"/>
      <c r="HD33" s="107"/>
      <c r="HE33" s="107"/>
      <c r="HF33" s="107"/>
      <c r="HG33" s="107"/>
      <c r="HH33" s="107"/>
      <c r="HI33" s="107"/>
      <c r="HJ33" s="107"/>
      <c r="HK33" s="107"/>
      <c r="HL33" s="107"/>
      <c r="HM33" s="107"/>
      <c r="HN33" s="107"/>
      <c r="HO33" s="107"/>
      <c r="HP33" s="107"/>
      <c r="HQ33" s="107"/>
      <c r="HR33" s="107"/>
      <c r="HS33" s="107"/>
      <c r="HT33" s="107"/>
      <c r="HU33" s="107"/>
      <c r="HV33" s="107"/>
      <c r="HW33" s="107"/>
      <c r="HX33" s="107"/>
      <c r="HY33" s="107"/>
      <c r="HZ33" s="107"/>
      <c r="IA33" s="107"/>
      <c r="IB33" s="107"/>
      <c r="IC33" s="107"/>
      <c r="ID33" s="107"/>
      <c r="IE33" s="107"/>
      <c r="IF33" s="107"/>
      <c r="IG33" s="107"/>
      <c r="IH33" s="107"/>
      <c r="II33" s="107"/>
      <c r="IJ33" s="107"/>
      <c r="IK33" s="107"/>
      <c r="IL33" s="107"/>
      <c r="IM33" s="107"/>
      <c r="IN33" s="107"/>
      <c r="IO33" s="107"/>
      <c r="IP33" s="107"/>
      <c r="IQ33" s="107"/>
      <c r="IR33" s="107"/>
      <c r="IS33" s="107"/>
      <c r="IT33" s="107"/>
      <c r="IU33" s="107"/>
      <c r="IV33" s="107"/>
      <c r="IW33" s="107"/>
      <c r="IX33" s="107"/>
      <c r="IY33" s="107"/>
      <c r="IZ33" s="107"/>
      <c r="JA33" s="107"/>
      <c r="JB33" s="107"/>
      <c r="JC33" s="107"/>
      <c r="JD33" s="107"/>
      <c r="JE33" s="107"/>
      <c r="JF33" s="107"/>
      <c r="JG33" s="107"/>
      <c r="JH33" s="107"/>
      <c r="JI33" s="107"/>
      <c r="JJ33" s="91"/>
    </row>
    <row r="34" spans="1:270" x14ac:dyDescent="0.25">
      <c r="A34" s="89"/>
      <c r="B34" s="89"/>
      <c r="C34" s="83" t="s">
        <v>41</v>
      </c>
      <c r="D34" s="328"/>
      <c r="E34" s="328"/>
      <c r="F34" s="466">
        <f>SUM(F7:F33)</f>
        <v>760</v>
      </c>
      <c r="G34" s="466">
        <f>SUM(G7:G33)</f>
        <v>1535</v>
      </c>
      <c r="H34" s="466">
        <f t="shared" ref="H34:BQ34" si="8">SUM(H7:H33)</f>
        <v>37786.479999999989</v>
      </c>
      <c r="I34" s="466">
        <f t="shared" ref="I34:N34" si="9">SUM(I7:I33)</f>
        <v>133455.07</v>
      </c>
      <c r="J34" s="466">
        <f t="shared" si="9"/>
        <v>150759.81</v>
      </c>
      <c r="K34" s="466">
        <f t="shared" si="9"/>
        <v>42751.270000000004</v>
      </c>
      <c r="L34" s="466">
        <f t="shared" si="9"/>
        <v>50310.03</v>
      </c>
      <c r="M34" s="466">
        <f t="shared" si="9"/>
        <v>12195.91</v>
      </c>
      <c r="N34" s="466">
        <f t="shared" si="9"/>
        <v>9747.15</v>
      </c>
      <c r="O34" s="679">
        <f t="shared" si="8"/>
        <v>35214.17</v>
      </c>
      <c r="P34" s="679">
        <f t="shared" si="8"/>
        <v>27435.010000000002</v>
      </c>
      <c r="Q34" s="679">
        <f t="shared" si="8"/>
        <v>59640</v>
      </c>
      <c r="R34" s="679">
        <f t="shared" si="8"/>
        <v>55817.46</v>
      </c>
      <c r="S34" s="679">
        <f t="shared" si="8"/>
        <v>0</v>
      </c>
      <c r="T34" s="679">
        <f t="shared" si="8"/>
        <v>12505.529999999999</v>
      </c>
      <c r="U34" s="679">
        <f t="shared" si="8"/>
        <v>0</v>
      </c>
      <c r="V34" s="679">
        <f t="shared" si="8"/>
        <v>1334.5400000000002</v>
      </c>
      <c r="W34" s="679">
        <f t="shared" si="8"/>
        <v>0</v>
      </c>
      <c r="X34" s="679">
        <f t="shared" si="8"/>
        <v>13802.429999999997</v>
      </c>
      <c r="Y34" s="679">
        <f t="shared" si="8"/>
        <v>31602.039999999997</v>
      </c>
      <c r="Z34" s="679">
        <f t="shared" si="8"/>
        <v>32482.58</v>
      </c>
      <c r="AA34" s="679">
        <f t="shared" si="8"/>
        <v>10879.63</v>
      </c>
      <c r="AB34" s="679">
        <f t="shared" si="8"/>
        <v>8509.2000000000007</v>
      </c>
      <c r="AC34" s="679">
        <f t="shared" si="8"/>
        <v>2320.13</v>
      </c>
      <c r="AD34" s="679">
        <f t="shared" si="8"/>
        <v>1891.45</v>
      </c>
      <c r="AE34" s="679">
        <f t="shared" ref="AE34:AN34" si="10">SUM(AE7:AE33)</f>
        <v>5745.3600000000006</v>
      </c>
      <c r="AF34" s="679">
        <f t="shared" si="10"/>
        <v>6541.0399999999991</v>
      </c>
      <c r="AG34" s="679">
        <f t="shared" si="10"/>
        <v>40341.65</v>
      </c>
      <c r="AH34" s="679">
        <f t="shared" si="10"/>
        <v>39534.089999999997</v>
      </c>
      <c r="AI34" s="679">
        <f t="shared" si="10"/>
        <v>6147467.0099999998</v>
      </c>
      <c r="AJ34" s="679">
        <f t="shared" si="10"/>
        <v>5825428.5999999987</v>
      </c>
      <c r="AK34" s="679">
        <f t="shared" si="10"/>
        <v>688903.67857142852</v>
      </c>
      <c r="AL34" s="679">
        <f t="shared" si="10"/>
        <v>0</v>
      </c>
      <c r="AM34" s="679">
        <f t="shared" si="10"/>
        <v>5458563.3314285716</v>
      </c>
      <c r="AN34" s="679">
        <f t="shared" si="10"/>
        <v>5177147.3594671572</v>
      </c>
      <c r="AO34" s="679">
        <f t="shared" si="8"/>
        <v>5832708.5614285702</v>
      </c>
      <c r="AP34" s="679">
        <f t="shared" si="8"/>
        <v>5587817.6753878128</v>
      </c>
      <c r="AQ34" s="679">
        <f t="shared" si="8"/>
        <v>5829331.29</v>
      </c>
      <c r="AR34" s="679">
        <f t="shared" si="8"/>
        <v>70800</v>
      </c>
      <c r="AS34" s="679">
        <f t="shared" si="8"/>
        <v>59640</v>
      </c>
      <c r="AT34" s="679">
        <f t="shared" si="8"/>
        <v>26972.370000000003</v>
      </c>
      <c r="AU34" s="679">
        <f t="shared" si="8"/>
        <v>180646.38</v>
      </c>
      <c r="AV34" s="679">
        <f t="shared" si="8"/>
        <v>1730648.2300000002</v>
      </c>
      <c r="AW34" s="679">
        <f t="shared" si="8"/>
        <v>697397.54</v>
      </c>
      <c r="AX34" s="679">
        <f t="shared" si="8"/>
        <v>31928.65</v>
      </c>
      <c r="AY34" s="679">
        <f t="shared" si="8"/>
        <v>27119.999999999996</v>
      </c>
      <c r="AZ34" s="679">
        <f t="shared" si="8"/>
        <v>7245.0000000000009</v>
      </c>
      <c r="BA34" s="679">
        <f t="shared" si="8"/>
        <v>100927.98</v>
      </c>
      <c r="BB34" s="679">
        <f t="shared" si="8"/>
        <v>6133.0999999999995</v>
      </c>
      <c r="BC34" s="679">
        <f t="shared" si="8"/>
        <v>1506480.48</v>
      </c>
      <c r="BD34" s="679">
        <f t="shared" si="8"/>
        <v>8900</v>
      </c>
      <c r="BE34" s="679">
        <f t="shared" si="8"/>
        <v>162872.38</v>
      </c>
      <c r="BF34" s="679">
        <f t="shared" si="8"/>
        <v>10084.84</v>
      </c>
      <c r="BG34" s="679">
        <f t="shared" si="8"/>
        <v>2000.0000000000005</v>
      </c>
      <c r="BH34" s="679">
        <f t="shared" si="8"/>
        <v>1104560.53</v>
      </c>
      <c r="BI34" s="679">
        <f t="shared" si="8"/>
        <v>16171.65</v>
      </c>
      <c r="BJ34" s="679">
        <f t="shared" si="8"/>
        <v>1500</v>
      </c>
      <c r="BK34" s="679">
        <f t="shared" si="8"/>
        <v>16548.420000000002</v>
      </c>
      <c r="BL34" s="679">
        <f t="shared" si="8"/>
        <v>5729.82</v>
      </c>
      <c r="BM34" s="679">
        <f t="shared" si="8"/>
        <v>12901.679999999998</v>
      </c>
      <c r="BN34" s="679">
        <f t="shared" si="8"/>
        <v>5200</v>
      </c>
      <c r="BO34" s="679">
        <f t="shared" si="8"/>
        <v>6900</v>
      </c>
      <c r="BP34" s="679">
        <f t="shared" si="8"/>
        <v>30022.240000000002</v>
      </c>
      <c r="BQ34" s="679">
        <f t="shared" si="8"/>
        <v>3377.2714285716775</v>
      </c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07"/>
      <c r="HK34" s="107"/>
      <c r="HL34" s="107"/>
      <c r="HM34" s="107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07"/>
      <c r="HY34" s="107"/>
      <c r="HZ34" s="107"/>
      <c r="IA34" s="107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07"/>
      <c r="IM34" s="107"/>
      <c r="IN34" s="107"/>
      <c r="IO34" s="107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07"/>
      <c r="JA34" s="107"/>
      <c r="JB34" s="107"/>
      <c r="JC34" s="107"/>
      <c r="JD34" s="107"/>
      <c r="JE34" s="107"/>
      <c r="JF34" s="107"/>
      <c r="JG34" s="107"/>
      <c r="JH34" s="107"/>
      <c r="JI34" s="107"/>
      <c r="JJ34" s="91"/>
    </row>
    <row r="35" spans="1:270" x14ac:dyDescent="0.25">
      <c r="A35" s="14"/>
      <c r="B35" s="14"/>
      <c r="C35" s="175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29"/>
      <c r="AR35" s="330" t="s">
        <v>128</v>
      </c>
      <c r="AS35" s="331" t="s">
        <v>128</v>
      </c>
      <c r="AT35" s="332" t="s">
        <v>128</v>
      </c>
      <c r="AU35" s="239" t="s">
        <v>128</v>
      </c>
      <c r="AV35" s="239" t="s">
        <v>128</v>
      </c>
      <c r="AW35" s="239" t="s">
        <v>128</v>
      </c>
      <c r="AX35" s="239" t="s">
        <v>128</v>
      </c>
      <c r="AY35" s="239" t="s">
        <v>128</v>
      </c>
      <c r="AZ35" s="239" t="s">
        <v>128</v>
      </c>
      <c r="BA35" s="284" t="s">
        <v>128</v>
      </c>
      <c r="BB35" s="284" t="s">
        <v>416</v>
      </c>
      <c r="BC35" s="333" t="s">
        <v>128</v>
      </c>
      <c r="BD35" s="239" t="s">
        <v>128</v>
      </c>
      <c r="BE35" s="331" t="s">
        <v>128</v>
      </c>
      <c r="BF35" s="284" t="s">
        <v>128</v>
      </c>
      <c r="BG35" s="284" t="s">
        <v>128</v>
      </c>
      <c r="BH35" s="233">
        <f>BH34+BI34+BJ34</f>
        <v>1122232.18</v>
      </c>
      <c r="BI35" s="239" t="s">
        <v>128</v>
      </c>
      <c r="BJ35" s="239" t="s">
        <v>128</v>
      </c>
      <c r="BK35" s="239" t="s">
        <v>128</v>
      </c>
      <c r="BL35" s="239" t="s">
        <v>128</v>
      </c>
      <c r="BM35" s="239" t="s">
        <v>128</v>
      </c>
      <c r="BN35" s="239" t="s">
        <v>128</v>
      </c>
      <c r="BO35" s="239" t="s">
        <v>128</v>
      </c>
      <c r="BP35" s="239"/>
      <c r="BQ35" s="14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  <c r="HH35" s="107"/>
      <c r="HI35" s="107"/>
      <c r="HJ35" s="107"/>
      <c r="HK35" s="107"/>
      <c r="HL35" s="107"/>
      <c r="HM35" s="107"/>
      <c r="HN35" s="107"/>
      <c r="HO35" s="107"/>
      <c r="HP35" s="107"/>
      <c r="HQ35" s="107"/>
      <c r="HR35" s="107"/>
      <c r="HS35" s="107"/>
      <c r="HT35" s="107"/>
      <c r="HU35" s="107"/>
      <c r="HV35" s="107"/>
      <c r="HW35" s="107"/>
      <c r="HX35" s="107"/>
      <c r="HY35" s="107"/>
      <c r="HZ35" s="107"/>
      <c r="IA35" s="107"/>
      <c r="IB35" s="107"/>
      <c r="IC35" s="107"/>
      <c r="ID35" s="107"/>
      <c r="IE35" s="107"/>
      <c r="IF35" s="107"/>
      <c r="IG35" s="107"/>
      <c r="IH35" s="107"/>
      <c r="II35" s="107"/>
      <c r="IJ35" s="107"/>
      <c r="IK35" s="107"/>
      <c r="IL35" s="107"/>
      <c r="IM35" s="107"/>
      <c r="IN35" s="107"/>
      <c r="IO35" s="107"/>
      <c r="IP35" s="107"/>
      <c r="IQ35" s="107"/>
      <c r="IR35" s="107"/>
      <c r="IS35" s="107"/>
      <c r="IT35" s="107"/>
      <c r="IU35" s="107"/>
      <c r="IV35" s="107"/>
      <c r="IW35" s="107"/>
      <c r="IX35" s="107"/>
      <c r="IY35" s="107"/>
      <c r="IZ35" s="107"/>
      <c r="JA35" s="107"/>
      <c r="JB35" s="107"/>
      <c r="JC35" s="107"/>
      <c r="JD35" s="107"/>
      <c r="JE35" s="107"/>
      <c r="JF35" s="107"/>
      <c r="JG35" s="107"/>
      <c r="JH35" s="107"/>
      <c r="JI35" s="107"/>
      <c r="JJ35" s="91"/>
    </row>
    <row r="36" spans="1:270" ht="15" customHeight="1" x14ac:dyDescent="0.25">
      <c r="A36" s="14"/>
      <c r="B36" s="14"/>
      <c r="C36" s="175"/>
      <c r="D36" s="239"/>
      <c r="E36" s="239"/>
      <c r="F36" s="239"/>
      <c r="G36" s="239"/>
      <c r="H36" s="331"/>
      <c r="I36" s="331"/>
      <c r="J36" s="331"/>
      <c r="K36" s="331"/>
      <c r="L36" s="331"/>
      <c r="M36" s="331"/>
      <c r="N36" s="331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239"/>
      <c r="AV36" s="239"/>
      <c r="AW36" s="239"/>
      <c r="AX36" s="239"/>
      <c r="AY36" s="239"/>
      <c r="AZ36" s="239"/>
      <c r="BA36" s="239"/>
      <c r="BB36" s="233"/>
      <c r="BC36" s="239"/>
      <c r="BD36" s="239"/>
      <c r="BE36" s="239"/>
      <c r="BF36" s="239"/>
      <c r="BG36" s="239"/>
      <c r="BH36" s="239" t="s">
        <v>128</v>
      </c>
      <c r="BI36" s="239"/>
      <c r="BJ36" s="153"/>
      <c r="BK36" s="174"/>
      <c r="BL36" s="14"/>
      <c r="BM36" s="14"/>
      <c r="BN36" s="14"/>
      <c r="BO36" s="14"/>
      <c r="BP36" s="14"/>
      <c r="BQ36" s="14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  <c r="HH36" s="93"/>
      <c r="HI36" s="93"/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3"/>
      <c r="HU36" s="93"/>
      <c r="HV36" s="93"/>
      <c r="HW36" s="93"/>
      <c r="HX36" s="93"/>
      <c r="HY36" s="93"/>
      <c r="HZ36" s="93"/>
      <c r="IA36" s="93"/>
      <c r="IB36" s="93"/>
      <c r="IC36" s="93"/>
      <c r="ID36" s="93"/>
      <c r="IE36" s="93"/>
      <c r="IF36" s="93"/>
      <c r="IG36" s="93"/>
      <c r="IH36" s="93"/>
      <c r="II36" s="93"/>
      <c r="IJ36" s="93"/>
      <c r="IK36" s="93"/>
      <c r="IL36" s="93"/>
      <c r="IM36" s="93"/>
      <c r="IN36" s="93"/>
      <c r="IO36" s="93"/>
      <c r="IP36" s="93"/>
      <c r="IQ36" s="93"/>
      <c r="IR36" s="93"/>
      <c r="IS36" s="93"/>
      <c r="IT36" s="93"/>
      <c r="IU36" s="93"/>
      <c r="IV36" s="93"/>
      <c r="IW36" s="93"/>
      <c r="IX36" s="93"/>
      <c r="IY36" s="93"/>
      <c r="IZ36" s="93"/>
      <c r="JA36" s="93"/>
      <c r="JB36" s="93"/>
      <c r="JC36" s="93"/>
      <c r="JD36" s="93"/>
      <c r="JE36" s="93"/>
      <c r="JF36" s="93"/>
      <c r="JG36" s="93"/>
      <c r="JH36" s="93"/>
      <c r="JI36" s="93"/>
      <c r="JJ36" s="94"/>
    </row>
    <row r="37" spans="1:270" ht="18.75" customHeight="1" x14ac:dyDescent="0.3">
      <c r="C37" s="143" t="s">
        <v>202</v>
      </c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422"/>
      <c r="O37" s="422"/>
      <c r="P37" s="422"/>
      <c r="Q37" s="422"/>
      <c r="R37" s="422"/>
      <c r="S37" s="438"/>
      <c r="T37" s="438"/>
      <c r="U37" s="477"/>
      <c r="V37" s="477"/>
      <c r="W37" s="477"/>
      <c r="X37" s="477"/>
      <c r="Y37" s="477"/>
      <c r="Z37" s="477"/>
      <c r="AA37" s="477"/>
      <c r="AB37" s="477"/>
      <c r="AC37" s="477"/>
      <c r="AD37" s="477"/>
      <c r="AE37" s="477"/>
      <c r="AF37" s="477"/>
      <c r="AG37" s="477"/>
      <c r="AH37" s="477"/>
      <c r="AI37" s="477"/>
      <c r="AJ37" s="477"/>
      <c r="AK37" s="477"/>
      <c r="AL37" s="477"/>
      <c r="AM37" s="477"/>
      <c r="AN37" s="477"/>
      <c r="AO37" s="422"/>
      <c r="AP37" s="422"/>
      <c r="AQ37" s="422"/>
      <c r="AR37" s="422"/>
      <c r="AS37" s="422"/>
      <c r="AT37" s="422"/>
      <c r="AU37" s="422"/>
      <c r="AV37" s="468"/>
      <c r="AW37" s="468"/>
      <c r="AX37" s="422"/>
      <c r="AY37" s="422"/>
      <c r="AZ37" s="316"/>
      <c r="BA37" s="316"/>
      <c r="BB37" s="472"/>
      <c r="BC37" s="316"/>
      <c r="BD37" s="316"/>
      <c r="BE37" s="317"/>
      <c r="BF37" s="148"/>
      <c r="BG37" s="148"/>
      <c r="BH37" s="148"/>
      <c r="BI37" s="148"/>
      <c r="BJ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</row>
    <row r="38" spans="1:270" ht="15.75" customHeight="1" x14ac:dyDescent="0.3">
      <c r="C38" s="145" t="s">
        <v>231</v>
      </c>
      <c r="D38" s="95"/>
      <c r="E38" s="95"/>
      <c r="F38" s="95"/>
      <c r="G38" s="95"/>
      <c r="H38" s="471" t="s">
        <v>301</v>
      </c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148"/>
      <c r="BH38" s="148"/>
      <c r="BI38" s="148"/>
      <c r="BJ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</row>
    <row r="39" spans="1:270" ht="16.5" customHeight="1" x14ac:dyDescent="0.3"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</row>
    <row r="40" spans="1:270" ht="17.25" customHeight="1" x14ac:dyDescent="0.3">
      <c r="A40" s="923" t="s">
        <v>0</v>
      </c>
      <c r="B40" s="905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</row>
    <row r="41" spans="1:270" ht="45" customHeight="1" x14ac:dyDescent="0.3">
      <c r="A41" s="923"/>
      <c r="B41" s="906"/>
      <c r="C41" s="923" t="s">
        <v>130</v>
      </c>
      <c r="D41" s="923" t="s">
        <v>43</v>
      </c>
      <c r="E41" s="905" t="s">
        <v>44</v>
      </c>
      <c r="F41" s="923" t="s">
        <v>45</v>
      </c>
      <c r="G41" s="923" t="s">
        <v>46</v>
      </c>
      <c r="H41" s="905" t="s">
        <v>1</v>
      </c>
      <c r="I41" s="924"/>
      <c r="J41" s="924"/>
      <c r="K41" s="925"/>
      <c r="L41" s="926"/>
      <c r="M41" s="925"/>
      <c r="N41" s="926"/>
      <c r="O41" s="925"/>
      <c r="P41" s="926"/>
      <c r="Q41" s="915"/>
      <c r="R41" s="915"/>
      <c r="S41" s="925"/>
      <c r="T41" s="926"/>
      <c r="U41" s="865"/>
      <c r="V41" s="866"/>
      <c r="W41" s="865"/>
      <c r="X41" s="866"/>
      <c r="Y41" s="865"/>
      <c r="Z41" s="866"/>
      <c r="AA41" s="865"/>
      <c r="AB41" s="866"/>
      <c r="AC41" s="883"/>
      <c r="AD41" s="884"/>
      <c r="AE41" s="885"/>
      <c r="AF41" s="885"/>
      <c r="AG41" s="883"/>
      <c r="AH41" s="884"/>
      <c r="AI41" s="883" t="s">
        <v>269</v>
      </c>
      <c r="AJ41" s="884"/>
      <c r="AK41" s="885" t="s">
        <v>403</v>
      </c>
      <c r="AL41" s="885"/>
      <c r="AM41" s="883" t="s">
        <v>404</v>
      </c>
      <c r="AN41" s="884"/>
      <c r="AO41" s="915" t="s">
        <v>405</v>
      </c>
      <c r="AP41" s="915"/>
      <c r="AQ41" s="868" t="s">
        <v>233</v>
      </c>
      <c r="AR41" s="916" t="s">
        <v>188</v>
      </c>
      <c r="AS41" s="916" t="s">
        <v>201</v>
      </c>
      <c r="AT41" s="916" t="s">
        <v>291</v>
      </c>
      <c r="AU41" s="870" t="s">
        <v>418</v>
      </c>
      <c r="AV41" s="870" t="s">
        <v>417</v>
      </c>
      <c r="AW41" s="882" t="s">
        <v>420</v>
      </c>
      <c r="AX41" s="919" t="s">
        <v>421</v>
      </c>
      <c r="AY41" s="882" t="s">
        <v>436</v>
      </c>
      <c r="AZ41" s="882" t="s">
        <v>422</v>
      </c>
      <c r="BA41" s="882" t="s">
        <v>423</v>
      </c>
      <c r="BB41" s="882" t="s">
        <v>424</v>
      </c>
      <c r="BC41" s="882" t="s">
        <v>425</v>
      </c>
      <c r="BD41" s="882" t="s">
        <v>426</v>
      </c>
      <c r="BE41" s="927" t="s">
        <v>367</v>
      </c>
      <c r="BF41" s="95"/>
      <c r="BG41" s="95"/>
      <c r="BH41" s="95"/>
      <c r="BI41" s="95"/>
      <c r="BJ41" s="95"/>
      <c r="BK41" s="95"/>
      <c r="BL41" s="95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</row>
    <row r="42" spans="1:270" ht="39" customHeight="1" x14ac:dyDescent="0.3">
      <c r="A42" s="25">
        <v>1</v>
      </c>
      <c r="B42" s="25"/>
      <c r="C42" s="923"/>
      <c r="D42" s="923"/>
      <c r="E42" s="906"/>
      <c r="F42" s="923"/>
      <c r="G42" s="923"/>
      <c r="H42" s="906"/>
      <c r="I42" s="82" t="s">
        <v>4</v>
      </c>
      <c r="J42" s="684" t="s">
        <v>5</v>
      </c>
      <c r="K42" s="82" t="s">
        <v>4</v>
      </c>
      <c r="L42" s="684" t="s">
        <v>5</v>
      </c>
      <c r="M42" s="82" t="s">
        <v>4</v>
      </c>
      <c r="N42" s="684" t="s">
        <v>5</v>
      </c>
      <c r="O42" s="82" t="s">
        <v>4</v>
      </c>
      <c r="P42" s="684" t="s">
        <v>5</v>
      </c>
      <c r="Q42" s="82" t="s">
        <v>4</v>
      </c>
      <c r="R42" s="684" t="s">
        <v>5</v>
      </c>
      <c r="S42" s="82" t="s">
        <v>4</v>
      </c>
      <c r="T42" s="684" t="s">
        <v>5</v>
      </c>
      <c r="U42" s="82" t="s">
        <v>4</v>
      </c>
      <c r="V42" s="684" t="s">
        <v>5</v>
      </c>
      <c r="W42" s="82" t="s">
        <v>4</v>
      </c>
      <c r="X42" s="684" t="s">
        <v>5</v>
      </c>
      <c r="Y42" s="82" t="s">
        <v>4</v>
      </c>
      <c r="Z42" s="684" t="s">
        <v>5</v>
      </c>
      <c r="AA42" s="82" t="s">
        <v>4</v>
      </c>
      <c r="AB42" s="684" t="s">
        <v>5</v>
      </c>
      <c r="AC42" s="687"/>
      <c r="AD42" s="688"/>
      <c r="AE42" s="687"/>
      <c r="AF42" s="688"/>
      <c r="AG42" s="687"/>
      <c r="AH42" s="688"/>
      <c r="AI42" s="687" t="s">
        <v>4</v>
      </c>
      <c r="AJ42" s="688" t="s">
        <v>5</v>
      </c>
      <c r="AK42" s="687" t="s">
        <v>4</v>
      </c>
      <c r="AL42" s="688" t="s">
        <v>5</v>
      </c>
      <c r="AM42" s="687" t="s">
        <v>4</v>
      </c>
      <c r="AN42" s="688" t="s">
        <v>5</v>
      </c>
      <c r="AO42" s="478" t="s">
        <v>4</v>
      </c>
      <c r="AP42" s="479" t="s">
        <v>5</v>
      </c>
      <c r="AQ42" s="869"/>
      <c r="AR42" s="917"/>
      <c r="AS42" s="917"/>
      <c r="AT42" s="917"/>
      <c r="AU42" s="871"/>
      <c r="AV42" s="871"/>
      <c r="AW42" s="918"/>
      <c r="AX42" s="920"/>
      <c r="AY42" s="918"/>
      <c r="AZ42" s="918"/>
      <c r="BA42" s="918"/>
      <c r="BB42" s="918"/>
      <c r="BC42" s="918"/>
      <c r="BD42" s="918"/>
      <c r="BE42" s="927"/>
      <c r="BF42" s="95"/>
      <c r="BG42" s="95"/>
      <c r="BH42" s="95"/>
      <c r="BI42" s="95"/>
      <c r="BJ42" s="95"/>
      <c r="BK42" s="95"/>
      <c r="BL42" s="95"/>
    </row>
    <row r="43" spans="1:270" ht="15" customHeight="1" x14ac:dyDescent="0.3">
      <c r="A43" s="25">
        <v>2</v>
      </c>
      <c r="B43" s="25"/>
      <c r="C43" s="35" t="s">
        <v>99</v>
      </c>
      <c r="D43" s="273">
        <v>1960</v>
      </c>
      <c r="E43" s="273">
        <v>2</v>
      </c>
      <c r="F43" s="320">
        <v>16</v>
      </c>
      <c r="G43" s="321">
        <v>35</v>
      </c>
      <c r="H43" s="274">
        <v>636.4</v>
      </c>
      <c r="I43" s="274"/>
      <c r="J43" s="274"/>
      <c r="K43" s="274"/>
      <c r="L43" s="274"/>
      <c r="M43" s="274"/>
      <c r="N43" s="274"/>
      <c r="O43" s="324"/>
      <c r="P43" s="324"/>
      <c r="Q43" s="324"/>
      <c r="R43" s="324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>
        <v>17838.8</v>
      </c>
      <c r="AJ43" s="324">
        <v>30845.77</v>
      </c>
      <c r="AK43" s="324">
        <f>AI43/7*12</f>
        <v>30580.800000000003</v>
      </c>
      <c r="AL43" s="324"/>
      <c r="AM43" s="324">
        <f>AK43-AI43</f>
        <v>12742.000000000004</v>
      </c>
      <c r="AN43" s="324">
        <f>AJ7-AN7</f>
        <v>15079.305174423702</v>
      </c>
      <c r="AO43" s="324">
        <f>AK43</f>
        <v>30580.800000000003</v>
      </c>
      <c r="AP43" s="324">
        <f>AJ43+AN43</f>
        <v>45925.075174423706</v>
      </c>
      <c r="AQ43" s="589">
        <f>AR43+AS43+AT43+AU43+AV43+AW43+AY43+AZ43+BA43+BB43+BC43+BD43</f>
        <v>64081</v>
      </c>
      <c r="AR43" s="589"/>
      <c r="AS43" s="589">
        <v>64081</v>
      </c>
      <c r="AT43" s="589"/>
      <c r="AU43" s="589"/>
      <c r="AV43" s="589"/>
      <c r="AW43" s="589"/>
      <c r="AX43" s="706">
        <v>10319.67</v>
      </c>
      <c r="AY43" s="589"/>
      <c r="AZ43" s="589"/>
      <c r="BA43" s="589"/>
      <c r="BB43" s="589"/>
      <c r="BC43" s="589"/>
      <c r="BD43" s="589"/>
      <c r="BE43" s="597">
        <f>AO43-AQ43</f>
        <v>-33500.199999999997</v>
      </c>
      <c r="BF43" s="95"/>
      <c r="BG43" s="95"/>
      <c r="BH43" s="95"/>
      <c r="BI43" s="95"/>
      <c r="BJ43" s="95"/>
      <c r="BK43" s="95"/>
      <c r="BL43" s="95"/>
    </row>
    <row r="44" spans="1:270" ht="15" customHeight="1" x14ac:dyDescent="0.3">
      <c r="A44" s="25">
        <v>3</v>
      </c>
      <c r="B44" s="25"/>
      <c r="C44" s="35" t="s">
        <v>100</v>
      </c>
      <c r="D44" s="273">
        <v>1960</v>
      </c>
      <c r="E44" s="273">
        <v>2</v>
      </c>
      <c r="F44" s="320">
        <v>16</v>
      </c>
      <c r="G44" s="321">
        <v>27</v>
      </c>
      <c r="H44" s="274">
        <v>647.79999999999995</v>
      </c>
      <c r="I44" s="274"/>
      <c r="J44" s="274"/>
      <c r="K44" s="274"/>
      <c r="L44" s="274"/>
      <c r="M44" s="274"/>
      <c r="N44" s="274"/>
      <c r="O44" s="324"/>
      <c r="P44" s="324"/>
      <c r="Q44" s="324"/>
      <c r="R44" s="324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>
        <v>18116</v>
      </c>
      <c r="AJ44" s="324">
        <v>16750.84</v>
      </c>
      <c r="AK44" s="324">
        <f t="shared" ref="AK44:AK69" si="11">AI44/7*12</f>
        <v>31056</v>
      </c>
      <c r="AL44" s="324"/>
      <c r="AM44" s="324">
        <f t="shared" ref="AM44:AM69" si="12">AK44-AI44</f>
        <v>12940</v>
      </c>
      <c r="AN44" s="324">
        <f t="shared" ref="AN44:AN69" si="13">AJ8-AN8</f>
        <v>10000.376238603778</v>
      </c>
      <c r="AO44" s="324">
        <f t="shared" ref="AO44:AO69" si="14">AK44</f>
        <v>31056</v>
      </c>
      <c r="AP44" s="324">
        <f t="shared" ref="AP44:AP69" si="15">AJ44+AN44</f>
        <v>26751.216238603778</v>
      </c>
      <c r="AQ44" s="589">
        <f t="shared" ref="AQ44:AQ69" si="16">AR44+AS44+AT44+AU44+AV44+AW44+AY44+AZ44+BA44+BB44+BC44+BD44</f>
        <v>0</v>
      </c>
      <c r="AR44" s="589"/>
      <c r="AS44" s="589"/>
      <c r="AT44" s="589"/>
      <c r="AU44" s="589"/>
      <c r="AV44" s="589"/>
      <c r="AW44" s="589"/>
      <c r="AX44" s="706"/>
      <c r="AY44" s="589"/>
      <c r="AZ44" s="589"/>
      <c r="BA44" s="589"/>
      <c r="BB44" s="589"/>
      <c r="BC44" s="589"/>
      <c r="BD44" s="589"/>
      <c r="BE44" s="597">
        <f t="shared" ref="BE44:BE69" si="17">AO44-AQ44</f>
        <v>31056</v>
      </c>
      <c r="BF44" s="95"/>
      <c r="BG44" s="95"/>
      <c r="BH44" s="95"/>
      <c r="BI44" s="95"/>
      <c r="BJ44" s="95"/>
      <c r="BK44" s="95"/>
      <c r="BL44" s="95"/>
    </row>
    <row r="45" spans="1:270" ht="15" customHeight="1" x14ac:dyDescent="0.3">
      <c r="A45" s="25">
        <v>4</v>
      </c>
      <c r="B45" s="25"/>
      <c r="C45" s="35" t="s">
        <v>101</v>
      </c>
      <c r="D45" s="273">
        <v>1960</v>
      </c>
      <c r="E45" s="273">
        <v>2</v>
      </c>
      <c r="F45" s="320">
        <v>16</v>
      </c>
      <c r="G45" s="321">
        <v>27</v>
      </c>
      <c r="H45" s="274">
        <v>641</v>
      </c>
      <c r="I45" s="274"/>
      <c r="J45" s="274"/>
      <c r="K45" s="274"/>
      <c r="L45" s="274"/>
      <c r="M45" s="274"/>
      <c r="N45" s="27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>
        <v>22075.9</v>
      </c>
      <c r="AJ45" s="324">
        <v>25770.22</v>
      </c>
      <c r="AK45" s="324">
        <f t="shared" si="11"/>
        <v>37844.400000000001</v>
      </c>
      <c r="AL45" s="324"/>
      <c r="AM45" s="324">
        <f t="shared" si="12"/>
        <v>15768.5</v>
      </c>
      <c r="AN45" s="324">
        <f t="shared" si="13"/>
        <v>15000.504477634968</v>
      </c>
      <c r="AO45" s="324">
        <f t="shared" si="14"/>
        <v>37844.400000000001</v>
      </c>
      <c r="AP45" s="324">
        <f t="shared" si="15"/>
        <v>40770.724477634969</v>
      </c>
      <c r="AQ45" s="589">
        <f t="shared" si="16"/>
        <v>0</v>
      </c>
      <c r="AR45" s="589"/>
      <c r="AS45" s="589"/>
      <c r="AT45" s="589"/>
      <c r="AU45" s="589"/>
      <c r="AV45" s="589"/>
      <c r="AW45" s="589"/>
      <c r="AX45" s="706"/>
      <c r="AY45" s="589"/>
      <c r="AZ45" s="589"/>
      <c r="BA45" s="589"/>
      <c r="BB45" s="589"/>
      <c r="BC45" s="589"/>
      <c r="BD45" s="589"/>
      <c r="BE45" s="597">
        <f t="shared" si="17"/>
        <v>37844.400000000001</v>
      </c>
      <c r="BF45" s="95"/>
      <c r="BG45" s="95"/>
      <c r="BH45" s="95"/>
      <c r="BI45" s="95"/>
      <c r="BJ45" s="95"/>
      <c r="BK45" s="95"/>
      <c r="BL45" s="95"/>
    </row>
    <row r="46" spans="1:270" ht="15" customHeight="1" x14ac:dyDescent="0.3">
      <c r="A46" s="25">
        <v>5</v>
      </c>
      <c r="B46" s="25"/>
      <c r="C46" s="35" t="s">
        <v>102</v>
      </c>
      <c r="D46" s="273">
        <v>1960</v>
      </c>
      <c r="E46" s="273">
        <v>2</v>
      </c>
      <c r="F46" s="320">
        <v>16</v>
      </c>
      <c r="G46" s="321">
        <v>27</v>
      </c>
      <c r="H46" s="274">
        <v>634</v>
      </c>
      <c r="I46" s="274"/>
      <c r="J46" s="274"/>
      <c r="K46" s="274"/>
      <c r="L46" s="274"/>
      <c r="M46" s="274"/>
      <c r="N46" s="27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>
        <v>17808</v>
      </c>
      <c r="AJ46" s="324">
        <v>20451.79</v>
      </c>
      <c r="AK46" s="324">
        <f t="shared" si="11"/>
        <v>30528</v>
      </c>
      <c r="AL46" s="324"/>
      <c r="AM46" s="324">
        <f t="shared" si="12"/>
        <v>12720</v>
      </c>
      <c r="AN46" s="324">
        <f t="shared" si="13"/>
        <v>11438.338221140875</v>
      </c>
      <c r="AO46" s="324">
        <f t="shared" si="14"/>
        <v>30528</v>
      </c>
      <c r="AP46" s="324">
        <f t="shared" si="15"/>
        <v>31890.128221140876</v>
      </c>
      <c r="AQ46" s="589">
        <f t="shared" si="16"/>
        <v>64081</v>
      </c>
      <c r="AR46" s="589"/>
      <c r="AS46" s="589">
        <v>64081</v>
      </c>
      <c r="AT46" s="589"/>
      <c r="AU46" s="589"/>
      <c r="AV46" s="589"/>
      <c r="AW46" s="589"/>
      <c r="AX46" s="706">
        <v>10588.99</v>
      </c>
      <c r="AY46" s="589"/>
      <c r="AZ46" s="589"/>
      <c r="BA46" s="589"/>
      <c r="BB46" s="589"/>
      <c r="BC46" s="589"/>
      <c r="BD46" s="589"/>
      <c r="BE46" s="597">
        <f t="shared" si="17"/>
        <v>-33553</v>
      </c>
      <c r="BF46" s="95"/>
      <c r="BG46" s="95"/>
      <c r="BH46" s="95"/>
      <c r="BI46" s="95"/>
      <c r="BJ46" s="95"/>
      <c r="BK46" s="95"/>
      <c r="BL46" s="95"/>
    </row>
    <row r="47" spans="1:270" ht="15" customHeight="1" x14ac:dyDescent="0.3">
      <c r="A47" s="25">
        <v>6</v>
      </c>
      <c r="B47" s="25"/>
      <c r="C47" s="35" t="s">
        <v>103</v>
      </c>
      <c r="D47" s="273">
        <v>1960</v>
      </c>
      <c r="E47" s="273">
        <v>2</v>
      </c>
      <c r="F47" s="320">
        <v>16</v>
      </c>
      <c r="G47" s="321">
        <v>22</v>
      </c>
      <c r="H47" s="274">
        <v>632.20000000000005</v>
      </c>
      <c r="I47" s="274"/>
      <c r="J47" s="274"/>
      <c r="K47" s="274"/>
      <c r="L47" s="274"/>
      <c r="M47" s="274"/>
      <c r="N47" s="27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>
        <v>17668</v>
      </c>
      <c r="AJ47" s="324">
        <v>20781.189999999999</v>
      </c>
      <c r="AK47" s="324">
        <f t="shared" si="11"/>
        <v>30288</v>
      </c>
      <c r="AL47" s="324"/>
      <c r="AM47" s="324">
        <f t="shared" si="12"/>
        <v>12620</v>
      </c>
      <c r="AN47" s="324">
        <f t="shared" si="13"/>
        <v>12710.367008836256</v>
      </c>
      <c r="AO47" s="324">
        <f t="shared" si="14"/>
        <v>30288</v>
      </c>
      <c r="AP47" s="324">
        <f t="shared" si="15"/>
        <v>33491.557008836258</v>
      </c>
      <c r="AQ47" s="589">
        <f t="shared" si="16"/>
        <v>64081</v>
      </c>
      <c r="AR47" s="589"/>
      <c r="AS47" s="589">
        <v>64081</v>
      </c>
      <c r="AT47" s="589"/>
      <c r="AU47" s="589"/>
      <c r="AV47" s="589"/>
      <c r="AW47" s="589"/>
      <c r="AX47" s="706">
        <v>7858.14</v>
      </c>
      <c r="AY47" s="589"/>
      <c r="AZ47" s="589"/>
      <c r="BA47" s="589"/>
      <c r="BB47" s="589"/>
      <c r="BC47" s="589"/>
      <c r="BD47" s="589"/>
      <c r="BE47" s="597">
        <f t="shared" si="17"/>
        <v>-33793</v>
      </c>
      <c r="BF47" s="95"/>
      <c r="BG47" s="95"/>
      <c r="BH47" s="95"/>
      <c r="BI47" s="95"/>
      <c r="BJ47" s="95"/>
      <c r="BK47" s="95"/>
      <c r="BL47" s="95"/>
    </row>
    <row r="48" spans="1:270" ht="15" customHeight="1" x14ac:dyDescent="0.3">
      <c r="A48" s="25">
        <v>7</v>
      </c>
      <c r="B48" s="25"/>
      <c r="C48" s="35" t="s">
        <v>104</v>
      </c>
      <c r="D48" s="273">
        <v>1966</v>
      </c>
      <c r="E48" s="258">
        <v>3</v>
      </c>
      <c r="F48" s="274">
        <v>36</v>
      </c>
      <c r="G48" s="322">
        <v>65</v>
      </c>
      <c r="H48" s="274">
        <v>1460.92</v>
      </c>
      <c r="I48" s="274"/>
      <c r="J48" s="274"/>
      <c r="K48" s="274"/>
      <c r="L48" s="274"/>
      <c r="M48" s="274"/>
      <c r="N48" s="27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>
        <v>41596.800000000003</v>
      </c>
      <c r="AJ48" s="324">
        <v>44248.9</v>
      </c>
      <c r="AK48" s="324">
        <f t="shared" si="11"/>
        <v>71308.800000000003</v>
      </c>
      <c r="AL48" s="324"/>
      <c r="AM48" s="324">
        <f t="shared" si="12"/>
        <v>29712</v>
      </c>
      <c r="AN48" s="324">
        <f t="shared" si="13"/>
        <v>25648.047690425883</v>
      </c>
      <c r="AO48" s="324">
        <f t="shared" si="14"/>
        <v>71308.800000000003</v>
      </c>
      <c r="AP48" s="324">
        <f t="shared" si="15"/>
        <v>69896.947690425877</v>
      </c>
      <c r="AQ48" s="589">
        <f t="shared" si="16"/>
        <v>98828.260000000009</v>
      </c>
      <c r="AR48" s="589"/>
      <c r="AS48" s="589"/>
      <c r="AT48" s="589">
        <v>39210.26</v>
      </c>
      <c r="AU48" s="589">
        <v>3500</v>
      </c>
      <c r="AV48" s="589">
        <v>55763</v>
      </c>
      <c r="AW48" s="589">
        <v>355</v>
      </c>
      <c r="AX48" s="706"/>
      <c r="AY48" s="589"/>
      <c r="AZ48" s="589"/>
      <c r="BA48" s="589"/>
      <c r="BB48" s="589"/>
      <c r="BC48" s="589"/>
      <c r="BD48" s="589"/>
      <c r="BE48" s="597">
        <f t="shared" si="17"/>
        <v>-27519.460000000006</v>
      </c>
      <c r="BF48" s="95"/>
      <c r="BG48" s="95"/>
      <c r="BH48" s="95"/>
      <c r="BI48" s="95"/>
      <c r="BJ48" s="95"/>
      <c r="BK48" s="95"/>
      <c r="BL48" s="95"/>
    </row>
    <row r="49" spans="1:64" ht="15" customHeight="1" x14ac:dyDescent="0.3">
      <c r="A49" s="25">
        <v>8</v>
      </c>
      <c r="B49" s="25"/>
      <c r="C49" s="35" t="s">
        <v>105</v>
      </c>
      <c r="D49" s="273">
        <v>1966</v>
      </c>
      <c r="E49" s="258">
        <v>3</v>
      </c>
      <c r="F49" s="274">
        <v>36</v>
      </c>
      <c r="G49" s="322">
        <v>68</v>
      </c>
      <c r="H49" s="274">
        <v>1486.39</v>
      </c>
      <c r="I49" s="274"/>
      <c r="J49" s="274"/>
      <c r="K49" s="274"/>
      <c r="L49" s="274"/>
      <c r="M49" s="274"/>
      <c r="N49" s="27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>
        <v>41562.92</v>
      </c>
      <c r="AJ49" s="324">
        <v>46372.72</v>
      </c>
      <c r="AK49" s="324">
        <f t="shared" si="11"/>
        <v>71250.720000000001</v>
      </c>
      <c r="AL49" s="324"/>
      <c r="AM49" s="324">
        <f t="shared" si="12"/>
        <v>29687.800000000003</v>
      </c>
      <c r="AN49" s="324">
        <f t="shared" si="13"/>
        <v>27198.768771372183</v>
      </c>
      <c r="AO49" s="324">
        <f t="shared" si="14"/>
        <v>71250.720000000001</v>
      </c>
      <c r="AP49" s="324">
        <f t="shared" si="15"/>
        <v>73571.488771372184</v>
      </c>
      <c r="AQ49" s="589">
        <f t="shared" si="16"/>
        <v>98867.38</v>
      </c>
      <c r="AR49" s="589"/>
      <c r="AS49" s="589"/>
      <c r="AT49" s="589">
        <v>39604.379999999997</v>
      </c>
      <c r="AU49" s="589">
        <v>3500</v>
      </c>
      <c r="AV49" s="589">
        <v>55763</v>
      </c>
      <c r="AW49" s="589"/>
      <c r="AX49" s="706"/>
      <c r="AY49" s="589"/>
      <c r="AZ49" s="589"/>
      <c r="BA49" s="589"/>
      <c r="BB49" s="589"/>
      <c r="BC49" s="589"/>
      <c r="BD49" s="589"/>
      <c r="BE49" s="597">
        <f t="shared" si="17"/>
        <v>-27616.660000000003</v>
      </c>
      <c r="BF49" s="95"/>
      <c r="BG49" s="95"/>
      <c r="BH49" s="95"/>
      <c r="BI49" s="95"/>
      <c r="BJ49" s="95"/>
      <c r="BK49" s="95"/>
      <c r="BL49" s="95"/>
    </row>
    <row r="50" spans="1:64" ht="15" customHeight="1" x14ac:dyDescent="0.3">
      <c r="A50" s="25">
        <v>9</v>
      </c>
      <c r="B50" s="25"/>
      <c r="C50" s="35" t="s">
        <v>106</v>
      </c>
      <c r="D50" s="273">
        <v>1955</v>
      </c>
      <c r="E50" s="258">
        <v>2</v>
      </c>
      <c r="F50" s="274">
        <v>12</v>
      </c>
      <c r="G50" s="322">
        <v>33</v>
      </c>
      <c r="H50" s="274">
        <v>797.5</v>
      </c>
      <c r="I50" s="274"/>
      <c r="J50" s="274"/>
      <c r="K50" s="274"/>
      <c r="L50" s="274"/>
      <c r="M50" s="274"/>
      <c r="N50" s="27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>
        <v>30741.84</v>
      </c>
      <c r="AJ50" s="324">
        <v>26880.98</v>
      </c>
      <c r="AK50" s="324">
        <f t="shared" si="11"/>
        <v>52700.29714285714</v>
      </c>
      <c r="AL50" s="324"/>
      <c r="AM50" s="324">
        <f t="shared" si="12"/>
        <v>21958.45714285714</v>
      </c>
      <c r="AN50" s="324">
        <f t="shared" si="13"/>
        <v>20788.082871706451</v>
      </c>
      <c r="AO50" s="324">
        <f t="shared" si="14"/>
        <v>52700.29714285714</v>
      </c>
      <c r="AP50" s="324">
        <f t="shared" si="15"/>
        <v>47669.062871706454</v>
      </c>
      <c r="AQ50" s="589">
        <f t="shared" si="16"/>
        <v>64071</v>
      </c>
      <c r="AR50" s="589"/>
      <c r="AS50" s="589">
        <v>64071</v>
      </c>
      <c r="AT50" s="589"/>
      <c r="AU50" s="589"/>
      <c r="AV50" s="589"/>
      <c r="AW50" s="589"/>
      <c r="AX50" s="706">
        <v>11486.95</v>
      </c>
      <c r="AY50" s="589"/>
      <c r="AZ50" s="589"/>
      <c r="BA50" s="589"/>
      <c r="BB50" s="589"/>
      <c r="BC50" s="589"/>
      <c r="BD50" s="589"/>
      <c r="BE50" s="597">
        <f t="shared" si="17"/>
        <v>-11370.70285714286</v>
      </c>
      <c r="BF50" s="95"/>
      <c r="BG50" s="95"/>
      <c r="BH50" s="95"/>
      <c r="BI50" s="95"/>
      <c r="BJ50" s="95"/>
      <c r="BK50" s="95"/>
      <c r="BL50" s="95"/>
    </row>
    <row r="51" spans="1:64" ht="15" customHeight="1" x14ac:dyDescent="0.3">
      <c r="A51" s="25">
        <v>10</v>
      </c>
      <c r="B51" s="25"/>
      <c r="C51" s="35" t="s">
        <v>107</v>
      </c>
      <c r="D51" s="273">
        <v>1955</v>
      </c>
      <c r="E51" s="258">
        <v>2</v>
      </c>
      <c r="F51" s="274">
        <v>12</v>
      </c>
      <c r="G51" s="322">
        <v>31</v>
      </c>
      <c r="H51" s="274">
        <v>804</v>
      </c>
      <c r="I51" s="274"/>
      <c r="J51" s="274"/>
      <c r="K51" s="274"/>
      <c r="L51" s="274"/>
      <c r="M51" s="274"/>
      <c r="N51" s="274"/>
      <c r="O51" s="324"/>
      <c r="P51" s="324"/>
      <c r="Q51" s="324"/>
      <c r="R51" s="324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>
        <v>30807.72</v>
      </c>
      <c r="AJ51" s="324">
        <v>32931.15</v>
      </c>
      <c r="AK51" s="324">
        <f t="shared" si="11"/>
        <v>52813.234285714279</v>
      </c>
      <c r="AL51" s="324"/>
      <c r="AM51" s="324">
        <f t="shared" si="12"/>
        <v>22005.514285714278</v>
      </c>
      <c r="AN51" s="324">
        <f t="shared" si="13"/>
        <v>23658.42283007376</v>
      </c>
      <c r="AO51" s="324">
        <f t="shared" si="14"/>
        <v>52813.234285714279</v>
      </c>
      <c r="AP51" s="324">
        <f t="shared" si="15"/>
        <v>56589.572830073761</v>
      </c>
      <c r="AQ51" s="589">
        <f t="shared" si="16"/>
        <v>78572.100000000006</v>
      </c>
      <c r="AR51" s="589"/>
      <c r="AS51" s="589">
        <v>64081</v>
      </c>
      <c r="AT51" s="589">
        <v>14491.1</v>
      </c>
      <c r="AU51" s="589"/>
      <c r="AV51" s="589"/>
      <c r="AW51" s="589"/>
      <c r="AX51" s="706">
        <v>16672.23</v>
      </c>
      <c r="AY51" s="589"/>
      <c r="AZ51" s="589"/>
      <c r="BA51" s="589"/>
      <c r="BB51" s="589"/>
      <c r="BC51" s="589"/>
      <c r="BD51" s="589"/>
      <c r="BE51" s="597">
        <f t="shared" si="17"/>
        <v>-25758.865714285726</v>
      </c>
      <c r="BF51" s="95"/>
      <c r="BG51" s="95"/>
      <c r="BH51" s="95"/>
      <c r="BI51" s="95"/>
      <c r="BJ51" s="95"/>
      <c r="BK51" s="95"/>
      <c r="BL51" s="95"/>
    </row>
    <row r="52" spans="1:64" ht="15" customHeight="1" x14ac:dyDescent="0.3">
      <c r="A52" s="25">
        <v>11</v>
      </c>
      <c r="B52" s="25"/>
      <c r="C52" s="35" t="s">
        <v>108</v>
      </c>
      <c r="D52" s="273">
        <v>1955</v>
      </c>
      <c r="E52" s="258">
        <v>2</v>
      </c>
      <c r="F52" s="274">
        <v>6</v>
      </c>
      <c r="G52" s="322">
        <v>14</v>
      </c>
      <c r="H52" s="274">
        <v>328.7</v>
      </c>
      <c r="I52" s="274"/>
      <c r="J52" s="274"/>
      <c r="K52" s="274"/>
      <c r="L52" s="274"/>
      <c r="M52" s="274"/>
      <c r="N52" s="27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>
        <v>7316.89</v>
      </c>
      <c r="AJ52" s="324">
        <v>8284.7900000000009</v>
      </c>
      <c r="AK52" s="324">
        <f t="shared" si="11"/>
        <v>12543.24</v>
      </c>
      <c r="AL52" s="324"/>
      <c r="AM52" s="324">
        <f t="shared" si="12"/>
        <v>5226.3499999999995</v>
      </c>
      <c r="AN52" s="324">
        <f t="shared" si="13"/>
        <v>5027.0440395074329</v>
      </c>
      <c r="AO52" s="324">
        <f t="shared" si="14"/>
        <v>12543.24</v>
      </c>
      <c r="AP52" s="324">
        <f t="shared" si="15"/>
        <v>13311.834039507434</v>
      </c>
      <c r="AQ52" s="589">
        <f t="shared" si="16"/>
        <v>0</v>
      </c>
      <c r="AR52" s="589"/>
      <c r="AS52" s="589"/>
      <c r="AT52" s="589"/>
      <c r="AU52" s="589"/>
      <c r="AV52" s="589"/>
      <c r="AW52" s="589"/>
      <c r="AX52" s="706"/>
      <c r="AY52" s="589"/>
      <c r="AZ52" s="589"/>
      <c r="BA52" s="589"/>
      <c r="BB52" s="589"/>
      <c r="BC52" s="589"/>
      <c r="BD52" s="589"/>
      <c r="BE52" s="597">
        <f t="shared" si="17"/>
        <v>12543.24</v>
      </c>
      <c r="BF52" s="95"/>
      <c r="BG52" s="95"/>
      <c r="BH52" s="95"/>
      <c r="BI52" s="95"/>
      <c r="BJ52" s="95"/>
      <c r="BK52" s="95"/>
      <c r="BL52" s="95"/>
    </row>
    <row r="53" spans="1:64" ht="15" customHeight="1" x14ac:dyDescent="0.3">
      <c r="A53" s="25">
        <v>12</v>
      </c>
      <c r="B53" s="25"/>
      <c r="C53" s="35" t="s">
        <v>109</v>
      </c>
      <c r="D53" s="273">
        <v>1979</v>
      </c>
      <c r="E53" s="258">
        <v>5</v>
      </c>
      <c r="F53" s="274">
        <v>81</v>
      </c>
      <c r="G53" s="322">
        <v>168</v>
      </c>
      <c r="H53" s="274">
        <v>3928.89</v>
      </c>
      <c r="I53" s="274"/>
      <c r="J53" s="274"/>
      <c r="K53" s="274"/>
      <c r="L53" s="274"/>
      <c r="M53" s="274"/>
      <c r="N53" s="27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>
        <v>110356.12</v>
      </c>
      <c r="AJ53" s="324">
        <v>117526.65</v>
      </c>
      <c r="AK53" s="324">
        <f t="shared" si="11"/>
        <v>189181.91999999998</v>
      </c>
      <c r="AL53" s="324"/>
      <c r="AM53" s="324">
        <f t="shared" si="12"/>
        <v>78825.799999999988</v>
      </c>
      <c r="AN53" s="324">
        <f t="shared" si="13"/>
        <v>72901.795529602212</v>
      </c>
      <c r="AO53" s="324">
        <f t="shared" si="14"/>
        <v>189181.91999999998</v>
      </c>
      <c r="AP53" s="324">
        <f t="shared" si="15"/>
        <v>190428.44552960221</v>
      </c>
      <c r="AQ53" s="589">
        <f t="shared" si="16"/>
        <v>173649.37</v>
      </c>
      <c r="AR53" s="589"/>
      <c r="AS53" s="589"/>
      <c r="AT53" s="589">
        <f>102831+60661.67</f>
        <v>163492.66999999998</v>
      </c>
      <c r="AU53" s="589"/>
      <c r="AV53" s="589"/>
      <c r="AW53" s="589"/>
      <c r="AX53" s="706"/>
      <c r="AY53" s="589">
        <v>10156.700000000001</v>
      </c>
      <c r="AZ53" s="589"/>
      <c r="BA53" s="589"/>
      <c r="BB53" s="589"/>
      <c r="BC53" s="589"/>
      <c r="BD53" s="589"/>
      <c r="BE53" s="597">
        <f t="shared" si="17"/>
        <v>15532.549999999988</v>
      </c>
      <c r="BF53" s="95"/>
      <c r="BG53" s="95"/>
      <c r="BH53" s="95"/>
      <c r="BI53" s="95"/>
      <c r="BJ53" s="95"/>
      <c r="BK53" s="95"/>
      <c r="BL53" s="95"/>
    </row>
    <row r="54" spans="1:64" ht="15" customHeight="1" x14ac:dyDescent="0.3">
      <c r="A54" s="25">
        <v>13</v>
      </c>
      <c r="B54" s="25"/>
      <c r="C54" s="37" t="s">
        <v>110</v>
      </c>
      <c r="D54" s="325">
        <v>1957</v>
      </c>
      <c r="E54" s="325">
        <v>1</v>
      </c>
      <c r="F54" s="326">
        <v>4</v>
      </c>
      <c r="G54" s="327">
        <v>8</v>
      </c>
      <c r="H54" s="274">
        <v>118.1</v>
      </c>
      <c r="I54" s="274"/>
      <c r="J54" s="274"/>
      <c r="K54" s="274"/>
      <c r="L54" s="274"/>
      <c r="M54" s="274"/>
      <c r="N54" s="27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>
        <f t="shared" si="11"/>
        <v>0</v>
      </c>
      <c r="AL54" s="324"/>
      <c r="AM54" s="324">
        <f t="shared" si="12"/>
        <v>0</v>
      </c>
      <c r="AN54" s="324">
        <f t="shared" si="13"/>
        <v>0</v>
      </c>
      <c r="AO54" s="324">
        <f t="shared" si="14"/>
        <v>0</v>
      </c>
      <c r="AP54" s="324">
        <f t="shared" si="15"/>
        <v>0</v>
      </c>
      <c r="AQ54" s="589">
        <f t="shared" si="16"/>
        <v>0</v>
      </c>
      <c r="AR54" s="589"/>
      <c r="AS54" s="589"/>
      <c r="AT54" s="589"/>
      <c r="AU54" s="589"/>
      <c r="AV54" s="589"/>
      <c r="AW54" s="589"/>
      <c r="AX54" s="706"/>
      <c r="AY54" s="589"/>
      <c r="AZ54" s="589"/>
      <c r="BA54" s="589"/>
      <c r="BB54" s="589"/>
      <c r="BC54" s="589"/>
      <c r="BD54" s="589"/>
      <c r="BE54" s="597">
        <f t="shared" si="17"/>
        <v>0</v>
      </c>
      <c r="BF54" s="95"/>
      <c r="BG54" s="95"/>
      <c r="BH54" s="95"/>
      <c r="BI54" s="95"/>
      <c r="BJ54" s="95"/>
      <c r="BK54" s="95"/>
      <c r="BL54" s="95"/>
    </row>
    <row r="55" spans="1:64" ht="15" customHeight="1" x14ac:dyDescent="0.3">
      <c r="A55" s="25">
        <v>14</v>
      </c>
      <c r="B55" s="25"/>
      <c r="C55" s="35" t="s">
        <v>111</v>
      </c>
      <c r="D55" s="273">
        <v>1955</v>
      </c>
      <c r="E55" s="258">
        <v>2</v>
      </c>
      <c r="F55" s="274">
        <v>15</v>
      </c>
      <c r="G55" s="322">
        <v>33</v>
      </c>
      <c r="H55" s="274">
        <v>796.8</v>
      </c>
      <c r="I55" s="274"/>
      <c r="J55" s="274"/>
      <c r="K55" s="274"/>
      <c r="L55" s="274"/>
      <c r="M55" s="274"/>
      <c r="N55" s="27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>
        <v>24251.01</v>
      </c>
      <c r="AJ55" s="324">
        <v>24870.959999999999</v>
      </c>
      <c r="AK55" s="324">
        <f t="shared" si="11"/>
        <v>41573.159999999996</v>
      </c>
      <c r="AL55" s="324"/>
      <c r="AM55" s="324">
        <f t="shared" si="12"/>
        <v>17322.149999999998</v>
      </c>
      <c r="AN55" s="324">
        <f t="shared" si="13"/>
        <v>14644.260493115886</v>
      </c>
      <c r="AO55" s="324">
        <f t="shared" si="14"/>
        <v>41573.159999999996</v>
      </c>
      <c r="AP55" s="324">
        <f t="shared" si="15"/>
        <v>39515.220493115885</v>
      </c>
      <c r="AQ55" s="589">
        <f t="shared" si="16"/>
        <v>0</v>
      </c>
      <c r="AR55" s="589"/>
      <c r="AS55" s="589"/>
      <c r="AT55" s="589"/>
      <c r="AU55" s="589"/>
      <c r="AV55" s="589"/>
      <c r="AW55" s="589"/>
      <c r="AX55" s="706"/>
      <c r="AY55" s="589"/>
      <c r="AZ55" s="589"/>
      <c r="BA55" s="589"/>
      <c r="BB55" s="589"/>
      <c r="BC55" s="589"/>
      <c r="BD55" s="589"/>
      <c r="BE55" s="597">
        <f t="shared" si="17"/>
        <v>41573.159999999996</v>
      </c>
      <c r="BF55" s="95"/>
      <c r="BG55" s="95"/>
      <c r="BH55" s="95"/>
      <c r="BI55" s="95"/>
      <c r="BJ55" s="95"/>
      <c r="BK55" s="95"/>
      <c r="BL55" s="95"/>
    </row>
    <row r="56" spans="1:64" ht="15" customHeight="1" x14ac:dyDescent="0.3">
      <c r="A56" s="25">
        <v>15</v>
      </c>
      <c r="B56" s="25"/>
      <c r="C56" s="35" t="s">
        <v>112</v>
      </c>
      <c r="D56" s="273">
        <v>1955</v>
      </c>
      <c r="E56" s="258">
        <v>2</v>
      </c>
      <c r="F56" s="274">
        <v>12</v>
      </c>
      <c r="G56" s="322">
        <v>29</v>
      </c>
      <c r="H56" s="274">
        <v>842</v>
      </c>
      <c r="I56" s="274"/>
      <c r="J56" s="274"/>
      <c r="K56" s="274"/>
      <c r="L56" s="274"/>
      <c r="M56" s="274"/>
      <c r="N56" s="27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>
        <v>25459.56</v>
      </c>
      <c r="AJ56" s="324">
        <v>26959.73</v>
      </c>
      <c r="AK56" s="324">
        <f t="shared" si="11"/>
        <v>43644.960000000006</v>
      </c>
      <c r="AL56" s="324"/>
      <c r="AM56" s="324">
        <f t="shared" si="12"/>
        <v>18185.400000000005</v>
      </c>
      <c r="AN56" s="324">
        <f t="shared" si="13"/>
        <v>16721.83307488737</v>
      </c>
      <c r="AO56" s="324">
        <f t="shared" si="14"/>
        <v>43644.960000000006</v>
      </c>
      <c r="AP56" s="324">
        <f t="shared" si="15"/>
        <v>43681.563074887366</v>
      </c>
      <c r="AQ56" s="589">
        <f t="shared" si="16"/>
        <v>64081</v>
      </c>
      <c r="AR56" s="589"/>
      <c r="AS56" s="589">
        <v>64081</v>
      </c>
      <c r="AT56" s="589"/>
      <c r="AU56" s="589"/>
      <c r="AV56" s="589"/>
      <c r="AW56" s="589"/>
      <c r="AX56" s="706">
        <v>8704.25</v>
      </c>
      <c r="AY56" s="589"/>
      <c r="AZ56" s="589"/>
      <c r="BA56" s="589"/>
      <c r="BB56" s="589"/>
      <c r="BC56" s="589"/>
      <c r="BD56" s="589"/>
      <c r="BE56" s="597">
        <f t="shared" si="17"/>
        <v>-20436.039999999994</v>
      </c>
      <c r="BF56" s="95"/>
      <c r="BG56" s="95"/>
      <c r="BH56" s="95"/>
      <c r="BI56" s="95"/>
      <c r="BJ56" s="95"/>
      <c r="BK56" s="95"/>
      <c r="BL56" s="95"/>
    </row>
    <row r="57" spans="1:64" ht="15" customHeight="1" x14ac:dyDescent="0.3">
      <c r="A57" s="25">
        <v>16</v>
      </c>
      <c r="B57" s="207">
        <v>42569</v>
      </c>
      <c r="C57" s="35" t="s">
        <v>113</v>
      </c>
      <c r="D57" s="273">
        <v>1955</v>
      </c>
      <c r="E57" s="258">
        <v>2</v>
      </c>
      <c r="F57" s="274">
        <v>12</v>
      </c>
      <c r="G57" s="322">
        <v>29</v>
      </c>
      <c r="H57" s="274">
        <v>794.83</v>
      </c>
      <c r="I57" s="274"/>
      <c r="J57" s="274"/>
      <c r="K57" s="274"/>
      <c r="L57" s="274"/>
      <c r="M57" s="274"/>
      <c r="N57" s="27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>
        <v>22227.24</v>
      </c>
      <c r="AJ57" s="324">
        <v>26436.59</v>
      </c>
      <c r="AK57" s="324">
        <f t="shared" si="11"/>
        <v>38103.840000000004</v>
      </c>
      <c r="AL57" s="324"/>
      <c r="AM57" s="324">
        <f t="shared" si="12"/>
        <v>15876.600000000002</v>
      </c>
      <c r="AN57" s="324">
        <f t="shared" si="13"/>
        <v>14779.534264060494</v>
      </c>
      <c r="AO57" s="324">
        <f t="shared" si="14"/>
        <v>38103.840000000004</v>
      </c>
      <c r="AP57" s="324">
        <f t="shared" si="15"/>
        <v>41216.124264060491</v>
      </c>
      <c r="AQ57" s="589">
        <f t="shared" si="16"/>
        <v>64081</v>
      </c>
      <c r="AR57" s="589"/>
      <c r="AS57" s="589">
        <v>64081</v>
      </c>
      <c r="AT57" s="589"/>
      <c r="AU57" s="589"/>
      <c r="AV57" s="589"/>
      <c r="AW57" s="589"/>
      <c r="AX57" s="706">
        <v>6323.94</v>
      </c>
      <c r="AY57" s="589"/>
      <c r="AZ57" s="589"/>
      <c r="BA57" s="589"/>
      <c r="BB57" s="589"/>
      <c r="BC57" s="589"/>
      <c r="BD57" s="589"/>
      <c r="BE57" s="597">
        <f t="shared" si="17"/>
        <v>-25977.159999999996</v>
      </c>
      <c r="BF57" s="95"/>
      <c r="BG57" s="95"/>
      <c r="BH57" s="95"/>
      <c r="BI57" s="95"/>
      <c r="BJ57" s="95"/>
      <c r="BK57" s="95"/>
      <c r="BL57" s="95"/>
    </row>
    <row r="58" spans="1:64" ht="15" customHeight="1" x14ac:dyDescent="0.3">
      <c r="A58" s="25">
        <v>17</v>
      </c>
      <c r="B58" s="25"/>
      <c r="C58" s="35" t="s">
        <v>114</v>
      </c>
      <c r="D58" s="273">
        <v>1955</v>
      </c>
      <c r="E58" s="258">
        <v>2</v>
      </c>
      <c r="F58" s="274">
        <v>12</v>
      </c>
      <c r="G58" s="322">
        <v>31</v>
      </c>
      <c r="H58" s="274">
        <v>836.38</v>
      </c>
      <c r="I58" s="274"/>
      <c r="J58" s="274"/>
      <c r="K58" s="274"/>
      <c r="L58" s="274"/>
      <c r="M58" s="274"/>
      <c r="N58" s="27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>
        <v>26266.639999999999</v>
      </c>
      <c r="AJ58" s="324">
        <v>27375.66</v>
      </c>
      <c r="AK58" s="324">
        <f t="shared" si="11"/>
        <v>45028.525714285715</v>
      </c>
      <c r="AL58" s="324"/>
      <c r="AM58" s="324">
        <f t="shared" si="12"/>
        <v>18761.885714285716</v>
      </c>
      <c r="AN58" s="324">
        <f t="shared" si="13"/>
        <v>16358.397439097083</v>
      </c>
      <c r="AO58" s="324">
        <f t="shared" si="14"/>
        <v>45028.525714285715</v>
      </c>
      <c r="AP58" s="324">
        <f t="shared" si="15"/>
        <v>43734.057439097087</v>
      </c>
      <c r="AQ58" s="589">
        <f t="shared" si="16"/>
        <v>0</v>
      </c>
      <c r="AR58" s="589"/>
      <c r="AS58" s="589"/>
      <c r="AT58" s="589"/>
      <c r="AU58" s="589"/>
      <c r="AV58" s="589"/>
      <c r="AW58" s="589"/>
      <c r="AX58" s="706"/>
      <c r="AY58" s="589"/>
      <c r="AZ58" s="589"/>
      <c r="BA58" s="589"/>
      <c r="BB58" s="589"/>
      <c r="BC58" s="589"/>
      <c r="BD58" s="589"/>
      <c r="BE58" s="597">
        <f t="shared" si="17"/>
        <v>45028.525714285715</v>
      </c>
      <c r="BF58" s="95"/>
      <c r="BG58" s="95"/>
      <c r="BH58" s="95"/>
      <c r="BI58" s="95"/>
      <c r="BJ58" s="95"/>
      <c r="BK58" s="95"/>
      <c r="BL58" s="95"/>
    </row>
    <row r="59" spans="1:64" ht="15" customHeight="1" x14ac:dyDescent="0.3">
      <c r="A59" s="25">
        <v>18</v>
      </c>
      <c r="B59" s="207">
        <v>42569</v>
      </c>
      <c r="C59" s="35" t="s">
        <v>115</v>
      </c>
      <c r="D59" s="273">
        <v>1955</v>
      </c>
      <c r="E59" s="258">
        <v>2</v>
      </c>
      <c r="F59" s="274">
        <v>12</v>
      </c>
      <c r="G59" s="322">
        <v>31</v>
      </c>
      <c r="H59" s="274">
        <v>747.9</v>
      </c>
      <c r="I59" s="274"/>
      <c r="J59" s="274"/>
      <c r="K59" s="274"/>
      <c r="L59" s="274"/>
      <c r="M59" s="274"/>
      <c r="N59" s="274"/>
      <c r="O59" s="324"/>
      <c r="P59" s="324"/>
      <c r="Q59" s="324"/>
      <c r="R59" s="324"/>
      <c r="S59" s="324"/>
      <c r="T59" s="324"/>
      <c r="U59" s="324"/>
      <c r="V59" s="324"/>
      <c r="W59" s="324"/>
      <c r="X59" s="324"/>
      <c r="Y59" s="324"/>
      <c r="Z59" s="324"/>
      <c r="AA59" s="324"/>
      <c r="AB59" s="324"/>
      <c r="AC59" s="324"/>
      <c r="AD59" s="324"/>
      <c r="AE59" s="324"/>
      <c r="AF59" s="324"/>
      <c r="AG59" s="324"/>
      <c r="AH59" s="324"/>
      <c r="AI59" s="324">
        <v>22552</v>
      </c>
      <c r="AJ59" s="324">
        <v>25455.74</v>
      </c>
      <c r="AK59" s="324">
        <f t="shared" si="11"/>
        <v>38660.571428571428</v>
      </c>
      <c r="AL59" s="324"/>
      <c r="AM59" s="324">
        <f t="shared" si="12"/>
        <v>16108.571428571428</v>
      </c>
      <c r="AN59" s="324">
        <f t="shared" si="13"/>
        <v>14656.709741552186</v>
      </c>
      <c r="AO59" s="324">
        <f t="shared" si="14"/>
        <v>38660.571428571428</v>
      </c>
      <c r="AP59" s="324">
        <f t="shared" si="15"/>
        <v>40112.449741552191</v>
      </c>
      <c r="AQ59" s="589">
        <f t="shared" si="16"/>
        <v>64081</v>
      </c>
      <c r="AR59" s="589"/>
      <c r="AS59" s="589">
        <v>64081</v>
      </c>
      <c r="AT59" s="589"/>
      <c r="AU59" s="589"/>
      <c r="AV59" s="589"/>
      <c r="AW59" s="589"/>
      <c r="AX59" s="706">
        <v>4611.82</v>
      </c>
      <c r="AY59" s="589"/>
      <c r="AZ59" s="589"/>
      <c r="BA59" s="589"/>
      <c r="BB59" s="589"/>
      <c r="BC59" s="589"/>
      <c r="BD59" s="589"/>
      <c r="BE59" s="597">
        <f t="shared" si="17"/>
        <v>-25420.428571428572</v>
      </c>
      <c r="BF59" s="95"/>
      <c r="BG59" s="95"/>
      <c r="BH59" s="95"/>
      <c r="BI59" s="95"/>
      <c r="BJ59" s="95"/>
      <c r="BK59" s="95"/>
      <c r="BL59" s="95"/>
    </row>
    <row r="60" spans="1:64" ht="15" customHeight="1" x14ac:dyDescent="0.3">
      <c r="A60" s="25">
        <v>19</v>
      </c>
      <c r="B60" s="25"/>
      <c r="C60" s="35" t="s">
        <v>116</v>
      </c>
      <c r="D60" s="273">
        <v>1985</v>
      </c>
      <c r="E60" s="258">
        <v>5</v>
      </c>
      <c r="F60" s="274">
        <v>76</v>
      </c>
      <c r="G60" s="322">
        <v>158</v>
      </c>
      <c r="H60" s="274">
        <v>4043.22</v>
      </c>
      <c r="I60" s="274"/>
      <c r="J60" s="274"/>
      <c r="K60" s="274"/>
      <c r="L60" s="274"/>
      <c r="M60" s="274"/>
      <c r="N60" s="27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4">
        <v>70469.42</v>
      </c>
      <c r="AJ60" s="324">
        <v>80934.240000000005</v>
      </c>
      <c r="AK60" s="324">
        <f t="shared" si="11"/>
        <v>120804.72</v>
      </c>
      <c r="AL60" s="324"/>
      <c r="AM60" s="324">
        <f t="shared" si="12"/>
        <v>50335.3</v>
      </c>
      <c r="AN60" s="324">
        <f t="shared" si="13"/>
        <v>49535.495428418391</v>
      </c>
      <c r="AO60" s="324">
        <f t="shared" si="14"/>
        <v>120804.72</v>
      </c>
      <c r="AP60" s="324">
        <f t="shared" si="15"/>
        <v>130469.7354284184</v>
      </c>
      <c r="AQ60" s="589">
        <f t="shared" si="16"/>
        <v>17759.54</v>
      </c>
      <c r="AR60" s="589">
        <f>9130+5219.8</f>
        <v>14349.8</v>
      </c>
      <c r="AS60" s="589"/>
      <c r="AT60" s="589"/>
      <c r="AU60" s="589"/>
      <c r="AV60" s="589"/>
      <c r="AW60" s="589"/>
      <c r="AX60" s="706"/>
      <c r="AY60" s="589"/>
      <c r="AZ60" s="589">
        <v>3409.74</v>
      </c>
      <c r="BA60" s="589"/>
      <c r="BB60" s="589"/>
      <c r="BC60" s="589"/>
      <c r="BD60" s="589"/>
      <c r="BE60" s="597">
        <f t="shared" si="17"/>
        <v>103045.18</v>
      </c>
      <c r="BF60" s="95"/>
      <c r="BG60" s="95"/>
      <c r="BH60" s="95"/>
      <c r="BI60" s="95"/>
      <c r="BJ60" s="95"/>
      <c r="BK60" s="95"/>
      <c r="BL60" s="95"/>
    </row>
    <row r="61" spans="1:64" ht="15" customHeight="1" x14ac:dyDescent="0.3">
      <c r="A61" s="25">
        <v>20</v>
      </c>
      <c r="B61" s="25"/>
      <c r="C61" s="35" t="s">
        <v>117</v>
      </c>
      <c r="D61" s="273">
        <v>1955</v>
      </c>
      <c r="E61" s="258">
        <v>2</v>
      </c>
      <c r="F61" s="274">
        <v>12</v>
      </c>
      <c r="G61" s="322">
        <v>21</v>
      </c>
      <c r="H61" s="274">
        <v>606.29999999999995</v>
      </c>
      <c r="I61" s="274"/>
      <c r="J61" s="274"/>
      <c r="K61" s="274"/>
      <c r="L61" s="274"/>
      <c r="M61" s="274"/>
      <c r="N61" s="27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>
        <v>29102.400000000001</v>
      </c>
      <c r="AJ61" s="324">
        <v>25034.57</v>
      </c>
      <c r="AK61" s="324">
        <f t="shared" si="11"/>
        <v>49889.828571428574</v>
      </c>
      <c r="AL61" s="324"/>
      <c r="AM61" s="324">
        <f t="shared" si="12"/>
        <v>20787.428571428572</v>
      </c>
      <c r="AN61" s="324">
        <f t="shared" si="13"/>
        <v>16525.211890194281</v>
      </c>
      <c r="AO61" s="324">
        <f t="shared" si="14"/>
        <v>49889.828571428574</v>
      </c>
      <c r="AP61" s="324">
        <f t="shared" si="15"/>
        <v>41559.781890194281</v>
      </c>
      <c r="AQ61" s="589">
        <f t="shared" si="16"/>
        <v>0</v>
      </c>
      <c r="AR61" s="589"/>
      <c r="AS61" s="589"/>
      <c r="AT61" s="589"/>
      <c r="AU61" s="589"/>
      <c r="AV61" s="589"/>
      <c r="AW61" s="589"/>
      <c r="AX61" s="706"/>
      <c r="AY61" s="589"/>
      <c r="AZ61" s="589"/>
      <c r="BA61" s="589"/>
      <c r="BB61" s="589"/>
      <c r="BC61" s="589"/>
      <c r="BD61" s="589"/>
      <c r="BE61" s="597">
        <f t="shared" si="17"/>
        <v>49889.828571428574</v>
      </c>
      <c r="BF61" s="95"/>
      <c r="BG61" s="95"/>
      <c r="BH61" s="95"/>
      <c r="BI61" s="95"/>
      <c r="BJ61" s="95"/>
      <c r="BK61" s="95"/>
      <c r="BL61" s="95"/>
    </row>
    <row r="62" spans="1:64" ht="15" customHeight="1" x14ac:dyDescent="0.3">
      <c r="A62" s="25">
        <v>21</v>
      </c>
      <c r="B62" s="25"/>
      <c r="C62" s="35" t="s">
        <v>118</v>
      </c>
      <c r="D62" s="273">
        <v>1989</v>
      </c>
      <c r="E62" s="258">
        <v>5</v>
      </c>
      <c r="F62" s="274">
        <v>75</v>
      </c>
      <c r="G62" s="322">
        <v>146</v>
      </c>
      <c r="H62" s="274">
        <v>3492.24</v>
      </c>
      <c r="I62" s="274"/>
      <c r="J62" s="274"/>
      <c r="K62" s="274"/>
      <c r="L62" s="274"/>
      <c r="M62" s="274"/>
      <c r="N62" s="27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>
        <v>87924.59</v>
      </c>
      <c r="AJ62" s="324">
        <v>103267.85</v>
      </c>
      <c r="AK62" s="324">
        <f t="shared" si="11"/>
        <v>150727.86857142858</v>
      </c>
      <c r="AL62" s="324"/>
      <c r="AM62" s="324">
        <f t="shared" si="12"/>
        <v>62803.278571428586</v>
      </c>
      <c r="AN62" s="324">
        <f t="shared" si="13"/>
        <v>60104.691577802005</v>
      </c>
      <c r="AO62" s="324">
        <f t="shared" si="14"/>
        <v>150727.86857142858</v>
      </c>
      <c r="AP62" s="324">
        <f t="shared" si="15"/>
        <v>163372.54157780201</v>
      </c>
      <c r="AQ62" s="589">
        <f t="shared" si="16"/>
        <v>65606.23000000001</v>
      </c>
      <c r="AR62" s="589">
        <v>3740</v>
      </c>
      <c r="AS62" s="589"/>
      <c r="AT62" s="589"/>
      <c r="AU62" s="589">
        <v>3500</v>
      </c>
      <c r="AV62" s="589">
        <v>55763</v>
      </c>
      <c r="AW62" s="589"/>
      <c r="AX62" s="706"/>
      <c r="AY62" s="589"/>
      <c r="AZ62" s="589"/>
      <c r="BA62" s="589"/>
      <c r="BB62" s="589"/>
      <c r="BC62" s="589">
        <v>1893.23</v>
      </c>
      <c r="BD62" s="589">
        <v>710</v>
      </c>
      <c r="BE62" s="597">
        <f t="shared" si="17"/>
        <v>85121.638571428572</v>
      </c>
      <c r="BF62" s="95"/>
      <c r="BG62" s="95"/>
      <c r="BH62" s="95"/>
      <c r="BI62" s="95"/>
      <c r="BJ62" s="95"/>
      <c r="BK62" s="95"/>
      <c r="BL62" s="95"/>
    </row>
    <row r="63" spans="1:64" ht="15" customHeight="1" x14ac:dyDescent="0.3">
      <c r="A63" s="25">
        <v>22</v>
      </c>
      <c r="B63" s="25"/>
      <c r="C63" s="35" t="s">
        <v>119</v>
      </c>
      <c r="D63" s="273">
        <v>1989</v>
      </c>
      <c r="E63" s="258">
        <v>5</v>
      </c>
      <c r="F63" s="274">
        <v>75</v>
      </c>
      <c r="G63" s="322">
        <v>137</v>
      </c>
      <c r="H63" s="274">
        <v>3454.59</v>
      </c>
      <c r="I63" s="274"/>
      <c r="J63" s="274"/>
      <c r="K63" s="274"/>
      <c r="L63" s="274"/>
      <c r="M63" s="274"/>
      <c r="N63" s="274"/>
      <c r="O63" s="324"/>
      <c r="P63" s="324"/>
      <c r="Q63" s="324"/>
      <c r="R63" s="324"/>
      <c r="S63" s="324"/>
      <c r="T63" s="324"/>
      <c r="U63" s="324"/>
      <c r="V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>
        <v>95590.18</v>
      </c>
      <c r="AJ63" s="324">
        <v>110428.04</v>
      </c>
      <c r="AK63" s="324">
        <f t="shared" si="11"/>
        <v>163868.88</v>
      </c>
      <c r="AL63" s="324"/>
      <c r="AM63" s="324">
        <f t="shared" si="12"/>
        <v>68278.700000000012</v>
      </c>
      <c r="AN63" s="324">
        <f t="shared" si="13"/>
        <v>66215.254902060726</v>
      </c>
      <c r="AO63" s="324">
        <f t="shared" si="14"/>
        <v>163868.88</v>
      </c>
      <c r="AP63" s="324">
        <f t="shared" si="15"/>
        <v>176643.2949020607</v>
      </c>
      <c r="AQ63" s="589">
        <f t="shared" si="16"/>
        <v>14742.11</v>
      </c>
      <c r="AR63" s="589">
        <v>9790</v>
      </c>
      <c r="AS63" s="589"/>
      <c r="AT63" s="589"/>
      <c r="AU63" s="589"/>
      <c r="AV63" s="589"/>
      <c r="AW63" s="589"/>
      <c r="AX63" s="706"/>
      <c r="AY63" s="589"/>
      <c r="AZ63" s="589"/>
      <c r="BA63" s="589"/>
      <c r="BB63" s="589">
        <v>4015.45</v>
      </c>
      <c r="BC63" s="589">
        <v>936.66</v>
      </c>
      <c r="BD63" s="589"/>
      <c r="BE63" s="597">
        <f t="shared" si="17"/>
        <v>149126.77000000002</v>
      </c>
      <c r="BF63" s="95"/>
      <c r="BG63" s="95"/>
      <c r="BH63" s="95"/>
      <c r="BI63" s="95"/>
      <c r="BJ63" s="95"/>
      <c r="BK63" s="95"/>
      <c r="BL63" s="95"/>
    </row>
    <row r="64" spans="1:64" ht="15" customHeight="1" x14ac:dyDescent="0.3">
      <c r="A64" s="31"/>
      <c r="B64" s="31"/>
      <c r="C64" s="35" t="s">
        <v>120</v>
      </c>
      <c r="D64" s="273">
        <v>1993</v>
      </c>
      <c r="E64" s="258">
        <v>5</v>
      </c>
      <c r="F64" s="274">
        <v>100</v>
      </c>
      <c r="G64" s="322">
        <v>227</v>
      </c>
      <c r="H64" s="274">
        <v>6046.32</v>
      </c>
      <c r="I64" s="274"/>
      <c r="J64" s="274"/>
      <c r="K64" s="274"/>
      <c r="L64" s="274"/>
      <c r="M64" s="274"/>
      <c r="N64" s="27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4"/>
      <c r="AF64" s="324"/>
      <c r="AG64" s="324"/>
      <c r="AH64" s="324"/>
      <c r="AI64" s="324">
        <v>107209.96</v>
      </c>
      <c r="AJ64" s="324">
        <v>121610.96</v>
      </c>
      <c r="AK64" s="324">
        <f t="shared" si="11"/>
        <v>183788.50285714288</v>
      </c>
      <c r="AL64" s="324"/>
      <c r="AM64" s="324">
        <f t="shared" si="12"/>
        <v>76578.542857142878</v>
      </c>
      <c r="AN64" s="324">
        <f t="shared" si="13"/>
        <v>74581.905920655699</v>
      </c>
      <c r="AO64" s="324">
        <f t="shared" si="14"/>
        <v>183788.50285714288</v>
      </c>
      <c r="AP64" s="324">
        <f t="shared" si="15"/>
        <v>196192.86592065572</v>
      </c>
      <c r="AQ64" s="589">
        <f t="shared" si="16"/>
        <v>333945.48</v>
      </c>
      <c r="AR64" s="589">
        <v>12082</v>
      </c>
      <c r="AS64" s="589">
        <v>130000</v>
      </c>
      <c r="AT64" s="589">
        <v>183566.13</v>
      </c>
      <c r="AU64" s="589"/>
      <c r="AV64" s="589"/>
      <c r="AW64" s="589"/>
      <c r="AX64" s="706">
        <v>19891.990000000002</v>
      </c>
      <c r="AY64" s="589"/>
      <c r="AZ64" s="589">
        <v>6141.71</v>
      </c>
      <c r="BA64" s="589">
        <v>283.04000000000002</v>
      </c>
      <c r="BB64" s="589">
        <v>1872.6</v>
      </c>
      <c r="BC64" s="589"/>
      <c r="BD64" s="589"/>
      <c r="BE64" s="597">
        <f t="shared" si="17"/>
        <v>-150156.9771428571</v>
      </c>
      <c r="BF64" s="95"/>
      <c r="BG64" s="95"/>
      <c r="BH64" s="95"/>
      <c r="BI64" s="95"/>
      <c r="BJ64" s="95"/>
      <c r="BK64" s="95"/>
      <c r="BL64" s="95"/>
    </row>
    <row r="65" spans="1:65" ht="15" customHeight="1" x14ac:dyDescent="0.3">
      <c r="A65" s="14"/>
      <c r="B65" s="14"/>
      <c r="C65" s="35" t="s">
        <v>121</v>
      </c>
      <c r="D65" s="273">
        <v>1989</v>
      </c>
      <c r="E65" s="258">
        <v>5</v>
      </c>
      <c r="F65" s="274">
        <v>76</v>
      </c>
      <c r="G65" s="322">
        <v>141</v>
      </c>
      <c r="H65" s="274">
        <v>3481.7</v>
      </c>
      <c r="I65" s="274"/>
      <c r="J65" s="274"/>
      <c r="K65" s="274"/>
      <c r="L65" s="274"/>
      <c r="M65" s="274"/>
      <c r="N65" s="27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4"/>
      <c r="AF65" s="324"/>
      <c r="AG65" s="324"/>
      <c r="AH65" s="324"/>
      <c r="AI65" s="324">
        <v>97523.16</v>
      </c>
      <c r="AJ65" s="324">
        <v>105021.44</v>
      </c>
      <c r="AK65" s="324">
        <f t="shared" si="11"/>
        <v>167182.56</v>
      </c>
      <c r="AL65" s="324"/>
      <c r="AM65" s="324">
        <f t="shared" si="12"/>
        <v>69659.399999999994</v>
      </c>
      <c r="AN65" s="324">
        <f t="shared" si="13"/>
        <v>64706.892947670654</v>
      </c>
      <c r="AO65" s="324">
        <f t="shared" si="14"/>
        <v>167182.56</v>
      </c>
      <c r="AP65" s="324">
        <f t="shared" si="15"/>
        <v>169728.33294767066</v>
      </c>
      <c r="AQ65" s="589">
        <f t="shared" si="16"/>
        <v>135068.76</v>
      </c>
      <c r="AR65" s="589">
        <v>7480</v>
      </c>
      <c r="AS65" s="589">
        <v>127139</v>
      </c>
      <c r="AT65" s="589"/>
      <c r="AU65" s="589"/>
      <c r="AV65" s="589"/>
      <c r="AW65" s="589"/>
      <c r="AX65" s="706">
        <v>26693.71</v>
      </c>
      <c r="AY65" s="589"/>
      <c r="AZ65" s="589"/>
      <c r="BA65" s="589"/>
      <c r="BB65" s="589"/>
      <c r="BC65" s="589">
        <v>449.76</v>
      </c>
      <c r="BD65" s="589"/>
      <c r="BE65" s="597">
        <f t="shared" si="17"/>
        <v>32113.799999999988</v>
      </c>
      <c r="BF65" s="95"/>
      <c r="BG65" s="95"/>
      <c r="BH65" s="95"/>
      <c r="BI65" s="95"/>
      <c r="BJ65" s="95"/>
      <c r="BK65" s="95"/>
      <c r="BL65" s="95"/>
    </row>
    <row r="66" spans="1:65" ht="15.75" customHeight="1" x14ac:dyDescent="0.3">
      <c r="C66" s="37" t="s">
        <v>122</v>
      </c>
      <c r="D66" s="480">
        <v>1957</v>
      </c>
      <c r="E66" s="480">
        <v>1</v>
      </c>
      <c r="F66" s="481">
        <v>4</v>
      </c>
      <c r="G66" s="482">
        <v>11</v>
      </c>
      <c r="H66" s="274">
        <v>132.6</v>
      </c>
      <c r="I66" s="274"/>
      <c r="J66" s="274"/>
      <c r="K66" s="274"/>
      <c r="L66" s="274"/>
      <c r="M66" s="274"/>
      <c r="N66" s="27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>
        <f t="shared" si="11"/>
        <v>0</v>
      </c>
      <c r="AL66" s="324"/>
      <c r="AM66" s="324">
        <f t="shared" si="12"/>
        <v>0</v>
      </c>
      <c r="AN66" s="324">
        <f t="shared" si="13"/>
        <v>0</v>
      </c>
      <c r="AO66" s="324">
        <f t="shared" si="14"/>
        <v>0</v>
      </c>
      <c r="AP66" s="324">
        <f t="shared" si="15"/>
        <v>0</v>
      </c>
      <c r="AQ66" s="589">
        <f t="shared" si="16"/>
        <v>0</v>
      </c>
      <c r="AR66" s="589"/>
      <c r="AS66" s="589"/>
      <c r="AT66" s="589"/>
      <c r="AU66" s="589"/>
      <c r="AV66" s="589"/>
      <c r="AW66" s="589"/>
      <c r="AX66" s="706"/>
      <c r="AY66" s="589"/>
      <c r="AZ66" s="589"/>
      <c r="BA66" s="589"/>
      <c r="BB66" s="589"/>
      <c r="BC66" s="589"/>
      <c r="BD66" s="589"/>
      <c r="BE66" s="597">
        <f t="shared" si="17"/>
        <v>0</v>
      </c>
      <c r="BF66" s="95"/>
      <c r="BG66" s="95"/>
      <c r="BH66" s="95"/>
      <c r="BI66" s="95"/>
      <c r="BJ66" s="95"/>
      <c r="BK66" s="95"/>
      <c r="BL66" s="95"/>
    </row>
    <row r="67" spans="1:65" ht="15" customHeight="1" x14ac:dyDescent="0.3">
      <c r="C67" s="37" t="s">
        <v>123</v>
      </c>
      <c r="D67" s="325">
        <v>1957</v>
      </c>
      <c r="E67" s="325">
        <v>1</v>
      </c>
      <c r="F67" s="326">
        <v>4</v>
      </c>
      <c r="G67" s="327">
        <v>5</v>
      </c>
      <c r="H67" s="274">
        <v>131.19999999999999</v>
      </c>
      <c r="I67" s="274"/>
      <c r="J67" s="274"/>
      <c r="K67" s="274"/>
      <c r="L67" s="274"/>
      <c r="M67" s="274"/>
      <c r="N67" s="27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>
        <f t="shared" si="11"/>
        <v>0</v>
      </c>
      <c r="AL67" s="324"/>
      <c r="AM67" s="324">
        <f t="shared" si="12"/>
        <v>0</v>
      </c>
      <c r="AN67" s="324">
        <f t="shared" si="13"/>
        <v>0</v>
      </c>
      <c r="AO67" s="324">
        <f t="shared" si="14"/>
        <v>0</v>
      </c>
      <c r="AP67" s="324">
        <f t="shared" si="15"/>
        <v>0</v>
      </c>
      <c r="AQ67" s="589">
        <f t="shared" si="16"/>
        <v>0</v>
      </c>
      <c r="AR67" s="589"/>
      <c r="AS67" s="589"/>
      <c r="AT67" s="589"/>
      <c r="AU67" s="589"/>
      <c r="AV67" s="589"/>
      <c r="AW67" s="589"/>
      <c r="AX67" s="706"/>
      <c r="AY67" s="589"/>
      <c r="AZ67" s="179"/>
      <c r="BA67" s="179"/>
      <c r="BB67" s="179"/>
      <c r="BC67" s="179"/>
      <c r="BD67" s="179"/>
      <c r="BE67" s="597">
        <f t="shared" si="17"/>
        <v>0</v>
      </c>
      <c r="BF67" s="95"/>
      <c r="BG67" s="95"/>
      <c r="BH67" s="95"/>
      <c r="BI67" s="95"/>
      <c r="BJ67" s="95"/>
      <c r="BK67" s="95"/>
      <c r="BL67" s="95"/>
    </row>
    <row r="68" spans="1:65" ht="15" customHeight="1" x14ac:dyDescent="0.3">
      <c r="C68" s="37" t="s">
        <v>124</v>
      </c>
      <c r="D68" s="325">
        <v>1957</v>
      </c>
      <c r="E68" s="325">
        <v>1</v>
      </c>
      <c r="F68" s="326">
        <v>4</v>
      </c>
      <c r="G68" s="327">
        <v>3</v>
      </c>
      <c r="H68" s="274">
        <v>123</v>
      </c>
      <c r="I68" s="274"/>
      <c r="J68" s="274"/>
      <c r="K68" s="274"/>
      <c r="L68" s="274"/>
      <c r="M68" s="274"/>
      <c r="N68" s="27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>
        <f t="shared" si="11"/>
        <v>0</v>
      </c>
      <c r="AL68" s="324"/>
      <c r="AM68" s="324">
        <f t="shared" si="12"/>
        <v>0</v>
      </c>
      <c r="AN68" s="324">
        <f t="shared" si="13"/>
        <v>0</v>
      </c>
      <c r="AO68" s="324">
        <f t="shared" si="14"/>
        <v>0</v>
      </c>
      <c r="AP68" s="324">
        <f t="shared" si="15"/>
        <v>0</v>
      </c>
      <c r="AQ68" s="589">
        <f t="shared" si="16"/>
        <v>0</v>
      </c>
      <c r="AR68" s="589"/>
      <c r="AS68" s="589"/>
      <c r="AT68" s="589"/>
      <c r="AU68" s="589"/>
      <c r="AV68" s="589"/>
      <c r="AW68" s="589"/>
      <c r="AX68" s="706"/>
      <c r="AY68" s="589"/>
      <c r="AZ68" s="179"/>
      <c r="BA68" s="179"/>
      <c r="BB68" s="179"/>
      <c r="BC68" s="179"/>
      <c r="BD68" s="179"/>
      <c r="BE68" s="597">
        <f t="shared" si="17"/>
        <v>0</v>
      </c>
      <c r="BF68" s="95"/>
      <c r="BG68" s="95"/>
      <c r="BH68" s="95"/>
      <c r="BI68" s="95"/>
      <c r="BJ68" s="95"/>
      <c r="BK68" s="95"/>
      <c r="BL68" s="95"/>
    </row>
    <row r="69" spans="1:65" ht="15" customHeight="1" x14ac:dyDescent="0.3">
      <c r="C69" s="37" t="s">
        <v>125</v>
      </c>
      <c r="D69" s="325">
        <v>1957</v>
      </c>
      <c r="E69" s="325">
        <v>1</v>
      </c>
      <c r="F69" s="326">
        <v>4</v>
      </c>
      <c r="G69" s="327">
        <v>8</v>
      </c>
      <c r="H69" s="274">
        <v>141.5</v>
      </c>
      <c r="I69" s="326"/>
      <c r="J69" s="326"/>
      <c r="K69" s="326"/>
      <c r="L69" s="326"/>
      <c r="M69" s="326"/>
      <c r="N69" s="326"/>
      <c r="O69" s="324"/>
      <c r="P69" s="3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324"/>
      <c r="AF69" s="224"/>
      <c r="AG69" s="324"/>
      <c r="AH69" s="224"/>
      <c r="AI69" s="224"/>
      <c r="AJ69" s="224"/>
      <c r="AK69" s="324">
        <f t="shared" si="11"/>
        <v>0</v>
      </c>
      <c r="AL69" s="224"/>
      <c r="AM69" s="324">
        <f t="shared" si="12"/>
        <v>0</v>
      </c>
      <c r="AN69" s="324">
        <f t="shared" si="13"/>
        <v>0</v>
      </c>
      <c r="AO69" s="324">
        <f t="shared" si="14"/>
        <v>0</v>
      </c>
      <c r="AP69" s="324">
        <f t="shared" si="15"/>
        <v>0</v>
      </c>
      <c r="AQ69" s="589">
        <f t="shared" si="16"/>
        <v>0</v>
      </c>
      <c r="AR69" s="589"/>
      <c r="AS69" s="589"/>
      <c r="AT69" s="589"/>
      <c r="AU69" s="589"/>
      <c r="AV69" s="589"/>
      <c r="AW69" s="589"/>
      <c r="AX69" s="706"/>
      <c r="AY69" s="589"/>
      <c r="AZ69" s="178"/>
      <c r="BA69" s="178"/>
      <c r="BB69" s="178"/>
      <c r="BC69" s="178"/>
      <c r="BD69" s="178"/>
      <c r="BE69" s="589">
        <f t="shared" si="17"/>
        <v>0</v>
      </c>
      <c r="BF69" s="95"/>
      <c r="BG69" s="95"/>
      <c r="BH69" s="95"/>
      <c r="BI69" s="95"/>
      <c r="BJ69" s="95"/>
      <c r="BK69" s="95"/>
      <c r="BL69" s="95"/>
      <c r="BM69" s="111"/>
    </row>
    <row r="70" spans="1:65" ht="15.75" customHeight="1" x14ac:dyDescent="0.3">
      <c r="C70" s="83" t="s">
        <v>41</v>
      </c>
      <c r="D70" s="328"/>
      <c r="E70" s="328"/>
      <c r="F70" s="466">
        <f>SUM(F43:F69)</f>
        <v>760</v>
      </c>
      <c r="G70" s="466">
        <f>SUM(G43:G69)</f>
        <v>1535</v>
      </c>
      <c r="H70" s="466">
        <f>SUM(H43:H69)</f>
        <v>37786.479999999989</v>
      </c>
      <c r="I70" s="466"/>
      <c r="J70" s="466"/>
      <c r="K70" s="466"/>
      <c r="L70" s="466"/>
      <c r="M70" s="466"/>
      <c r="N70" s="466"/>
      <c r="O70" s="679"/>
      <c r="P70" s="679"/>
      <c r="Q70" s="679"/>
      <c r="R70" s="679"/>
      <c r="S70" s="679"/>
      <c r="T70" s="679"/>
      <c r="U70" s="679"/>
      <c r="V70" s="679"/>
      <c r="W70" s="679"/>
      <c r="X70" s="679"/>
      <c r="Y70" s="679"/>
      <c r="Z70" s="679"/>
      <c r="AA70" s="679"/>
      <c r="AB70" s="679"/>
      <c r="AC70" s="679">
        <f t="shared" ref="AC70:AN70" si="18">SUM(AC43:AC69)</f>
        <v>0</v>
      </c>
      <c r="AD70" s="679">
        <f t="shared" si="18"/>
        <v>0</v>
      </c>
      <c r="AE70" s="679">
        <f t="shared" si="18"/>
        <v>0</v>
      </c>
      <c r="AF70" s="679">
        <f t="shared" si="18"/>
        <v>0</v>
      </c>
      <c r="AG70" s="679">
        <f t="shared" si="18"/>
        <v>0</v>
      </c>
      <c r="AH70" s="679">
        <f t="shared" si="18"/>
        <v>0</v>
      </c>
      <c r="AI70" s="679">
        <f t="shared" si="18"/>
        <v>964465.15</v>
      </c>
      <c r="AJ70" s="679">
        <f t="shared" si="18"/>
        <v>1068240.78</v>
      </c>
      <c r="AK70" s="679">
        <f t="shared" si="18"/>
        <v>1653368.8285714283</v>
      </c>
      <c r="AL70" s="679">
        <f t="shared" si="18"/>
        <v>0</v>
      </c>
      <c r="AM70" s="679">
        <f t="shared" si="18"/>
        <v>688903.67857142852</v>
      </c>
      <c r="AN70" s="679">
        <f t="shared" si="18"/>
        <v>648281.24053284235</v>
      </c>
      <c r="AO70" s="680">
        <f t="shared" ref="AO70:BE70" si="19">SUM(AO43:AO69)</f>
        <v>1653368.8285714283</v>
      </c>
      <c r="AP70" s="680">
        <f t="shared" si="19"/>
        <v>1716522.0205328423</v>
      </c>
      <c r="AQ70" s="680">
        <f t="shared" si="19"/>
        <v>1465596.23</v>
      </c>
      <c r="AR70" s="680">
        <f t="shared" si="19"/>
        <v>47441.8</v>
      </c>
      <c r="AS70" s="680">
        <f t="shared" si="19"/>
        <v>769777</v>
      </c>
      <c r="AT70" s="680">
        <f t="shared" si="19"/>
        <v>440364.54</v>
      </c>
      <c r="AU70" s="680">
        <f t="shared" si="19"/>
        <v>10500</v>
      </c>
      <c r="AV70" s="680">
        <f t="shared" si="19"/>
        <v>167289</v>
      </c>
      <c r="AW70" s="680">
        <f t="shared" si="19"/>
        <v>355</v>
      </c>
      <c r="AX70" s="707">
        <f t="shared" si="19"/>
        <v>123151.69</v>
      </c>
      <c r="AY70" s="680">
        <f t="shared" si="19"/>
        <v>10156.700000000001</v>
      </c>
      <c r="AZ70" s="680">
        <f t="shared" si="19"/>
        <v>9551.4500000000007</v>
      </c>
      <c r="BA70" s="680">
        <f t="shared" si="19"/>
        <v>283.04000000000002</v>
      </c>
      <c r="BB70" s="680">
        <f t="shared" si="19"/>
        <v>5888.0499999999993</v>
      </c>
      <c r="BC70" s="680">
        <f t="shared" si="19"/>
        <v>3279.6499999999996</v>
      </c>
      <c r="BD70" s="680">
        <f t="shared" si="19"/>
        <v>710</v>
      </c>
      <c r="BE70" s="680">
        <f t="shared" si="19"/>
        <v>187772.59857142856</v>
      </c>
      <c r="BF70" s="95"/>
      <c r="BG70" s="95"/>
      <c r="BH70" s="95"/>
      <c r="BI70" s="95"/>
      <c r="BJ70" s="95"/>
      <c r="BK70" s="95"/>
      <c r="BL70" s="95"/>
      <c r="BM70" s="111"/>
    </row>
    <row r="71" spans="1:65" ht="15" customHeight="1" x14ac:dyDescent="0.3">
      <c r="C71" s="175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19"/>
      <c r="AI71" s="319"/>
      <c r="AJ71" s="319"/>
      <c r="AK71" s="319"/>
      <c r="AL71" s="319"/>
      <c r="AM71" s="319"/>
      <c r="AN71" s="319"/>
      <c r="AO71" s="319" t="s">
        <v>128</v>
      </c>
      <c r="AP71" s="319" t="s">
        <v>128</v>
      </c>
      <c r="AQ71" s="319" t="s">
        <v>128</v>
      </c>
      <c r="AR71" s="319" t="s">
        <v>128</v>
      </c>
      <c r="AS71" s="319" t="s">
        <v>128</v>
      </c>
      <c r="AT71" s="319" t="s">
        <v>128</v>
      </c>
      <c r="AU71" s="319" t="s">
        <v>128</v>
      </c>
      <c r="AV71" s="319" t="s">
        <v>128</v>
      </c>
      <c r="AW71" s="627"/>
      <c r="AX71" s="627"/>
      <c r="AY71" s="627"/>
      <c r="AZ71" s="239"/>
      <c r="BA71" s="239"/>
      <c r="BB71" s="239"/>
      <c r="BC71" s="239"/>
      <c r="BD71" s="239"/>
      <c r="BE71" s="331"/>
      <c r="BF71" s="95"/>
      <c r="BG71" s="95"/>
      <c r="BH71" s="95"/>
      <c r="BI71" s="95"/>
      <c r="BJ71" s="95"/>
      <c r="BK71" s="95"/>
      <c r="BL71" s="95"/>
      <c r="BM71" s="111"/>
    </row>
    <row r="72" spans="1:65" ht="15.75" customHeight="1" x14ac:dyDescent="0.3">
      <c r="A72" s="923" t="s">
        <v>0</v>
      </c>
      <c r="B72" s="905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506"/>
      <c r="BA72" s="506"/>
      <c r="BB72" s="506"/>
      <c r="BC72" s="506"/>
      <c r="BD72" s="506"/>
      <c r="BE72" s="506"/>
      <c r="BF72" s="95"/>
      <c r="BG72" s="95"/>
      <c r="BH72" s="95"/>
      <c r="BI72" s="95"/>
      <c r="BJ72" s="95"/>
      <c r="BK72" s="95"/>
      <c r="BL72" s="95"/>
      <c r="BM72" s="111"/>
    </row>
    <row r="73" spans="1:65" ht="16.5" customHeight="1" x14ac:dyDescent="0.3">
      <c r="A73" s="923"/>
      <c r="B73" s="906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506"/>
      <c r="BA73" s="506"/>
      <c r="BB73" s="506"/>
      <c r="BC73" s="506"/>
      <c r="BD73" s="506"/>
      <c r="BE73" s="506"/>
      <c r="BF73" s="95"/>
      <c r="BG73" s="95"/>
      <c r="BH73" s="95"/>
      <c r="BI73" s="95"/>
      <c r="BJ73" s="95"/>
      <c r="BK73" s="95"/>
      <c r="BL73" s="95"/>
    </row>
    <row r="74" spans="1:65" ht="15" customHeight="1" x14ac:dyDescent="0.3">
      <c r="A74" s="25">
        <v>1</v>
      </c>
      <c r="B74" s="25"/>
      <c r="C74" s="68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506"/>
      <c r="BA74" s="506"/>
      <c r="BB74" s="506"/>
      <c r="BC74" s="506"/>
      <c r="BD74" s="506"/>
      <c r="BE74" s="506"/>
      <c r="BF74" s="95"/>
      <c r="BG74" s="95"/>
      <c r="BH74" s="95"/>
      <c r="BI74" s="95"/>
      <c r="BJ74" s="95"/>
      <c r="BK74" s="95"/>
      <c r="BL74" s="95"/>
    </row>
    <row r="75" spans="1:65" ht="15" customHeight="1" x14ac:dyDescent="0.25">
      <c r="A75" s="25">
        <v>2</v>
      </c>
      <c r="B75" s="25"/>
      <c r="C75" s="68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506"/>
      <c r="BA75" s="506"/>
      <c r="BB75" s="506"/>
      <c r="BC75" s="506"/>
      <c r="BD75" s="506"/>
      <c r="BE75" s="506"/>
      <c r="BF75" s="506"/>
      <c r="BG75" s="506"/>
      <c r="BH75" s="506"/>
      <c r="BI75" s="506"/>
    </row>
    <row r="76" spans="1:65" ht="15" customHeight="1" x14ac:dyDescent="0.25">
      <c r="A76" s="25">
        <v>3</v>
      </c>
      <c r="B76" s="25"/>
      <c r="C76" s="68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506"/>
      <c r="BA76" s="506"/>
      <c r="BB76" s="506"/>
      <c r="BC76" s="506"/>
      <c r="BD76" s="506"/>
      <c r="BE76" s="506"/>
      <c r="BF76" s="506"/>
      <c r="BG76" s="506"/>
      <c r="BH76" s="506"/>
      <c r="BI76" s="506"/>
    </row>
    <row r="77" spans="1:65" ht="15" customHeight="1" x14ac:dyDescent="0.25">
      <c r="A77" s="25">
        <v>4</v>
      </c>
      <c r="B77" s="25"/>
      <c r="C77" s="68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506"/>
      <c r="BA77" s="506"/>
      <c r="BB77" s="506"/>
      <c r="BC77" s="506"/>
      <c r="BD77" s="506"/>
      <c r="BE77" s="506"/>
      <c r="BF77" s="506"/>
      <c r="BG77" s="506"/>
      <c r="BH77" s="506"/>
      <c r="BI77" s="506"/>
    </row>
    <row r="78" spans="1:65" ht="15" customHeight="1" x14ac:dyDescent="0.25">
      <c r="A78" s="25">
        <v>6</v>
      </c>
      <c r="B78" s="25"/>
      <c r="C78" s="68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506"/>
      <c r="BA78" s="506"/>
      <c r="BB78" s="506"/>
      <c r="BC78" s="506"/>
      <c r="BD78" s="506"/>
      <c r="BE78" s="506"/>
      <c r="BF78" s="506"/>
      <c r="BG78" s="506"/>
      <c r="BH78" s="506"/>
      <c r="BI78" s="506"/>
    </row>
    <row r="79" spans="1:65" ht="15" customHeight="1" x14ac:dyDescent="0.25">
      <c r="A79" s="25">
        <v>7</v>
      </c>
      <c r="B79" s="25"/>
      <c r="C79" s="68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506"/>
      <c r="BA79" s="506"/>
      <c r="BB79" s="506"/>
      <c r="BC79" s="506"/>
      <c r="BD79" s="506"/>
      <c r="BE79" s="506"/>
      <c r="BF79" s="506"/>
      <c r="BG79" s="506"/>
      <c r="BH79" s="506"/>
      <c r="BI79" s="506"/>
    </row>
    <row r="80" spans="1:65" ht="15" customHeight="1" x14ac:dyDescent="0.25">
      <c r="A80" s="25">
        <v>8</v>
      </c>
      <c r="B80" s="25"/>
      <c r="C80" s="68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506"/>
      <c r="BA80" s="506"/>
      <c r="BB80" s="506"/>
      <c r="BC80" s="506"/>
      <c r="BD80" s="506"/>
      <c r="BE80" s="506"/>
      <c r="BF80" s="506"/>
      <c r="BG80" s="506"/>
      <c r="BH80" s="506"/>
      <c r="BI80" s="506"/>
    </row>
    <row r="81" spans="1:61" ht="15" customHeight="1" x14ac:dyDescent="0.25">
      <c r="A81" s="25">
        <v>9</v>
      </c>
      <c r="B81" s="25"/>
      <c r="C81" s="68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506"/>
      <c r="BA81" s="506"/>
      <c r="BB81" s="506"/>
      <c r="BC81" s="506"/>
      <c r="BD81" s="506"/>
      <c r="BE81" s="506"/>
      <c r="BF81" s="506"/>
      <c r="BG81" s="506"/>
      <c r="BH81" s="506"/>
      <c r="BI81" s="506"/>
    </row>
    <row r="82" spans="1:61" ht="15" customHeight="1" x14ac:dyDescent="0.25">
      <c r="A82" s="31"/>
      <c r="B82" s="31"/>
      <c r="C82" s="68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506"/>
      <c r="BA82" s="506"/>
      <c r="BB82" s="506"/>
      <c r="BC82" s="506"/>
      <c r="BD82" s="506"/>
      <c r="BE82" s="506"/>
      <c r="BF82" s="506"/>
      <c r="BG82" s="506"/>
      <c r="BH82" s="506"/>
      <c r="BI82" s="506"/>
    </row>
    <row r="83" spans="1:61" ht="15" customHeight="1" x14ac:dyDescent="0.25">
      <c r="A83" s="14"/>
      <c r="B83" s="14"/>
      <c r="C83" s="68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506"/>
      <c r="BA83" s="506"/>
      <c r="BB83" s="506"/>
      <c r="BC83" s="506"/>
      <c r="BD83" s="506"/>
      <c r="BE83" s="506"/>
      <c r="BF83" s="506"/>
      <c r="BG83" s="506"/>
      <c r="BH83" s="506"/>
      <c r="BI83" s="506"/>
    </row>
    <row r="84" spans="1:61" ht="15" customHeight="1" x14ac:dyDescent="0.3">
      <c r="A84" s="95"/>
      <c r="B84" s="95"/>
      <c r="C84" s="68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506"/>
      <c r="BA84" s="506"/>
      <c r="BB84" s="506"/>
      <c r="BC84" s="506"/>
      <c r="BD84" s="506"/>
      <c r="BE84" s="506"/>
      <c r="BF84" s="506"/>
      <c r="BG84" s="506"/>
      <c r="BH84" s="506"/>
      <c r="BI84" s="506"/>
    </row>
    <row r="85" spans="1:61" ht="15" customHeight="1" x14ac:dyDescent="0.3">
      <c r="A85" s="95"/>
      <c r="B85" s="95"/>
      <c r="C85" s="68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95"/>
      <c r="BA85" s="95"/>
      <c r="BB85" s="95"/>
      <c r="BC85" s="95"/>
      <c r="BD85" s="95"/>
      <c r="BE85" s="95"/>
      <c r="BF85" s="95"/>
      <c r="BG85" s="95"/>
      <c r="BH85" s="95"/>
      <c r="BI85" s="95"/>
    </row>
    <row r="86" spans="1:61" ht="15" customHeight="1" x14ac:dyDescent="0.3">
      <c r="A86" s="95"/>
      <c r="B86" s="95"/>
      <c r="C86" s="68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95"/>
      <c r="BA86" s="95"/>
      <c r="BB86" s="95"/>
      <c r="BC86" s="95"/>
      <c r="BD86" s="95"/>
      <c r="BE86" s="95"/>
      <c r="BF86" s="95"/>
      <c r="BG86" s="95"/>
      <c r="BH86" s="95"/>
      <c r="BI86" s="95"/>
    </row>
    <row r="87" spans="1:61" ht="15.75" customHeight="1" x14ac:dyDescent="0.3">
      <c r="A87" s="95"/>
      <c r="B87" s="95"/>
      <c r="C87" s="68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95"/>
      <c r="BA87" s="95"/>
      <c r="BB87" s="95"/>
      <c r="BC87" s="95"/>
      <c r="BD87" s="95"/>
      <c r="BE87" s="95"/>
      <c r="BF87" s="95"/>
      <c r="BG87" s="95"/>
      <c r="BH87" s="95"/>
      <c r="BI87" s="95"/>
    </row>
    <row r="88" spans="1:61" ht="15" customHeight="1" x14ac:dyDescent="0.3">
      <c r="A88" s="95"/>
      <c r="B88" s="95"/>
      <c r="C88" s="68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95"/>
      <c r="BA88" s="95"/>
      <c r="BB88" s="95"/>
      <c r="BC88" s="95"/>
      <c r="BD88" s="95"/>
      <c r="BE88" s="95"/>
      <c r="BF88" s="95"/>
      <c r="BG88" s="95"/>
      <c r="BH88" s="95"/>
      <c r="BI88" s="95"/>
    </row>
    <row r="89" spans="1:61" ht="15" customHeight="1" x14ac:dyDescent="0.3">
      <c r="A89" s="95"/>
      <c r="B89" s="95"/>
      <c r="C89" s="68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95"/>
      <c r="BA89" s="95"/>
      <c r="BB89" s="95"/>
      <c r="BC89" s="95"/>
      <c r="BD89" s="95"/>
      <c r="BE89" s="95"/>
      <c r="BF89" s="95"/>
      <c r="BG89" s="95"/>
      <c r="BH89" s="95"/>
      <c r="BI89" s="95"/>
    </row>
    <row r="90" spans="1:61" ht="15" customHeight="1" x14ac:dyDescent="0.3">
      <c r="A90" s="95"/>
      <c r="B90" s="95"/>
      <c r="C90" s="68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95"/>
      <c r="BA90" s="95"/>
      <c r="BB90" s="95"/>
      <c r="BC90" s="95"/>
      <c r="BD90" s="95"/>
      <c r="BE90" s="95"/>
      <c r="BF90" s="95"/>
      <c r="BG90" s="95"/>
      <c r="BH90" s="95"/>
      <c r="BI90" s="95"/>
    </row>
    <row r="91" spans="1:61" ht="15" customHeight="1" x14ac:dyDescent="0.3">
      <c r="A91" s="95"/>
      <c r="B91" s="95"/>
      <c r="C91" s="68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95"/>
      <c r="BA91" s="95"/>
      <c r="BB91" s="95"/>
      <c r="BC91" s="95"/>
      <c r="BD91" s="95"/>
      <c r="BE91" s="95"/>
      <c r="BF91" s="95"/>
      <c r="BG91" s="95"/>
      <c r="BH91" s="95"/>
      <c r="BI91" s="95"/>
    </row>
    <row r="92" spans="1:61" ht="15" customHeight="1" x14ac:dyDescent="0.3">
      <c r="A92" s="95"/>
      <c r="B92" s="95"/>
      <c r="C92" s="68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95"/>
      <c r="BA92" s="95"/>
      <c r="BB92" s="95"/>
      <c r="BC92" s="95"/>
      <c r="BD92" s="95"/>
      <c r="BE92" s="95"/>
      <c r="BF92" s="95"/>
      <c r="BG92" s="95"/>
      <c r="BH92" s="95"/>
      <c r="BI92" s="95"/>
    </row>
    <row r="93" spans="1:61" ht="15" customHeight="1" x14ac:dyDescent="0.3">
      <c r="A93" s="95"/>
      <c r="B93" s="95"/>
      <c r="C93" s="68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95"/>
      <c r="BA93" s="95"/>
      <c r="BB93" s="95"/>
      <c r="BC93" s="95"/>
      <c r="BD93" s="95"/>
      <c r="BE93" s="95"/>
      <c r="BF93" s="95"/>
      <c r="BG93" s="95"/>
      <c r="BH93" s="95"/>
      <c r="BI93" s="95"/>
    </row>
    <row r="94" spans="1:61" ht="15" customHeight="1" x14ac:dyDescent="0.3">
      <c r="A94" s="95"/>
      <c r="B94" s="95"/>
      <c r="C94" s="68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95"/>
      <c r="BA94" s="95"/>
      <c r="BB94" s="95"/>
      <c r="BC94" s="95"/>
      <c r="BD94" s="95"/>
      <c r="BE94" s="95"/>
      <c r="BF94" s="95"/>
      <c r="BG94" s="95"/>
      <c r="BH94" s="95"/>
      <c r="BI94" s="95"/>
    </row>
    <row r="95" spans="1:61" ht="15" customHeight="1" x14ac:dyDescent="0.3">
      <c r="A95" s="95"/>
      <c r="B95" s="95"/>
      <c r="C95" s="68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95"/>
      <c r="BA95" s="95"/>
      <c r="BB95" s="95"/>
      <c r="BC95" s="95"/>
      <c r="BD95" s="95"/>
      <c r="BE95" s="95"/>
      <c r="BF95" s="95"/>
      <c r="BG95" s="95"/>
      <c r="BH95" s="95"/>
      <c r="BI95" s="95"/>
    </row>
    <row r="96" spans="1:61" ht="15" customHeight="1" x14ac:dyDescent="0.3">
      <c r="A96" s="95"/>
      <c r="B96" s="95"/>
      <c r="C96" s="68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95"/>
      <c r="BA96" s="95"/>
      <c r="BB96" s="95"/>
      <c r="BC96" s="95"/>
      <c r="BD96" s="95"/>
      <c r="BE96" s="95"/>
      <c r="BF96" s="95"/>
      <c r="BG96" s="95"/>
      <c r="BH96" s="95"/>
      <c r="BI96" s="95"/>
    </row>
    <row r="97" spans="1:61" ht="15" customHeight="1" x14ac:dyDescent="0.3">
      <c r="A97" s="95"/>
      <c r="B97" s="95"/>
      <c r="C97" s="68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</row>
    <row r="98" spans="1:61" ht="15" customHeight="1" x14ac:dyDescent="0.25">
      <c r="C98" s="68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</row>
    <row r="99" spans="1:61" ht="15" customHeight="1" x14ac:dyDescent="0.25">
      <c r="C99" s="68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</row>
    <row r="100" spans="1:61" ht="15" customHeight="1" x14ac:dyDescent="0.25">
      <c r="C100" s="68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</row>
    <row r="101" spans="1:61" ht="15" customHeight="1" x14ac:dyDescent="0.25">
      <c r="C101" s="68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</row>
    <row r="102" spans="1:61" ht="15" customHeight="1" x14ac:dyDescent="0.25">
      <c r="C102" s="68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</row>
    <row r="103" spans="1:61" ht="15" customHeight="1" x14ac:dyDescent="0.25">
      <c r="C103" s="68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</row>
    <row r="104" spans="1:61" ht="15" customHeight="1" x14ac:dyDescent="0.25">
      <c r="C104" s="68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</row>
    <row r="105" spans="1:61" ht="15" customHeight="1" x14ac:dyDescent="0.25">
      <c r="C105" s="68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</row>
  </sheetData>
  <mergeCells count="96">
    <mergeCell ref="BQ5:BQ6"/>
    <mergeCell ref="BK5:BK6"/>
    <mergeCell ref="BL5:BL6"/>
    <mergeCell ref="BM5:BM6"/>
    <mergeCell ref="BN5:BN6"/>
    <mergeCell ref="BO5:BO6"/>
    <mergeCell ref="AX5:AX6"/>
    <mergeCell ref="AY5:AY6"/>
    <mergeCell ref="AQ41:AQ42"/>
    <mergeCell ref="BI5:BI6"/>
    <mergeCell ref="AV41:AV42"/>
    <mergeCell ref="AZ5:AZ6"/>
    <mergeCell ref="AS41:AS42"/>
    <mergeCell ref="BE41:BE42"/>
    <mergeCell ref="AZ41:AZ42"/>
    <mergeCell ref="BA41:BA42"/>
    <mergeCell ref="BB41:BB42"/>
    <mergeCell ref="BC41:BC42"/>
    <mergeCell ref="BD41:BD42"/>
    <mergeCell ref="M41:N41"/>
    <mergeCell ref="A72:A73"/>
    <mergeCell ref="B72:B73"/>
    <mergeCell ref="C41:C42"/>
    <mergeCell ref="D41:D42"/>
    <mergeCell ref="E41:E42"/>
    <mergeCell ref="A40:A41"/>
    <mergeCell ref="B40:B41"/>
    <mergeCell ref="F41:F42"/>
    <mergeCell ref="G41:G42"/>
    <mergeCell ref="H41:H42"/>
    <mergeCell ref="I41:J41"/>
    <mergeCell ref="K41:L41"/>
    <mergeCell ref="O41:P41"/>
    <mergeCell ref="M5:N5"/>
    <mergeCell ref="O5:P5"/>
    <mergeCell ref="Q5:R5"/>
    <mergeCell ref="AQ5:AQ6"/>
    <mergeCell ref="AK5:AL5"/>
    <mergeCell ref="Q41:R41"/>
    <mergeCell ref="S41:T41"/>
    <mergeCell ref="U41:V41"/>
    <mergeCell ref="W41:X41"/>
    <mergeCell ref="Y41:Z41"/>
    <mergeCell ref="AA41:AB41"/>
    <mergeCell ref="AC41:AD41"/>
    <mergeCell ref="AE41:AF41"/>
    <mergeCell ref="AK41:AL41"/>
    <mergeCell ref="AG41:AH41"/>
    <mergeCell ref="A5:A6"/>
    <mergeCell ref="BH5:BH6"/>
    <mergeCell ref="AT5:AT6"/>
    <mergeCell ref="W5:X5"/>
    <mergeCell ref="Y5:Z5"/>
    <mergeCell ref="AA5:AB5"/>
    <mergeCell ref="B5:B6"/>
    <mergeCell ref="C5:C6"/>
    <mergeCell ref="D5:D6"/>
    <mergeCell ref="E5:E6"/>
    <mergeCell ref="U5:V5"/>
    <mergeCell ref="AM5:AN5"/>
    <mergeCell ref="AC5:AD5"/>
    <mergeCell ref="BE5:BE6"/>
    <mergeCell ref="BF5:BF6"/>
    <mergeCell ref="BG5:BG6"/>
    <mergeCell ref="D2:AY2"/>
    <mergeCell ref="D3:AY3"/>
    <mergeCell ref="F5:F6"/>
    <mergeCell ref="G5:G6"/>
    <mergeCell ref="H5:H6"/>
    <mergeCell ref="I5:J5"/>
    <mergeCell ref="K5:L5"/>
    <mergeCell ref="S5:T5"/>
    <mergeCell ref="AV5:AV6"/>
    <mergeCell ref="AW5:AW6"/>
    <mergeCell ref="AR5:AR6"/>
    <mergeCell ref="AS5:AS6"/>
    <mergeCell ref="AO5:AP5"/>
    <mergeCell ref="AE5:AF5"/>
    <mergeCell ref="AG5:AH5"/>
    <mergeCell ref="AI5:AJ5"/>
    <mergeCell ref="AI41:AJ41"/>
    <mergeCell ref="AM41:AN41"/>
    <mergeCell ref="AO41:AP41"/>
    <mergeCell ref="AR41:AR42"/>
    <mergeCell ref="BP5:BP6"/>
    <mergeCell ref="AW41:AW42"/>
    <mergeCell ref="AX41:AX42"/>
    <mergeCell ref="AY41:AY42"/>
    <mergeCell ref="AT41:AT42"/>
    <mergeCell ref="AU41:AU42"/>
    <mergeCell ref="BJ5:BJ6"/>
    <mergeCell ref="BB5:BB6"/>
    <mergeCell ref="BC5:BC6"/>
    <mergeCell ref="BD5:BD6"/>
    <mergeCell ref="BA5:BA6"/>
    <mergeCell ref="AU5:AU6"/>
  </mergeCells>
  <pageMargins left="0.17" right="0.17" top="0.31" bottom="0.16" header="0.31496062992125984" footer="0.16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U210"/>
  <sheetViews>
    <sheetView topLeftCell="M1" zoomScaleNormal="100" workbookViewId="0">
      <selection activeCell="C1" sqref="C1:V1048576"/>
    </sheetView>
  </sheetViews>
  <sheetFormatPr defaultRowHeight="15" x14ac:dyDescent="0.25"/>
  <cols>
    <col min="1" max="1" width="3.7109375" customWidth="1"/>
    <col min="2" max="2" width="9.5703125" hidden="1" customWidth="1"/>
    <col min="3" max="3" width="16.28515625" customWidth="1"/>
    <col min="4" max="4" width="7.5703125" customWidth="1"/>
    <col min="5" max="5" width="7.28515625" customWidth="1"/>
    <col min="6" max="6" width="8.5703125" customWidth="1"/>
    <col min="7" max="7" width="7.42578125" customWidth="1"/>
    <col min="8" max="8" width="9.85546875" customWidth="1"/>
    <col min="9" max="9" width="11.28515625" customWidth="1"/>
    <col min="10" max="10" width="12" customWidth="1"/>
    <col min="11" max="11" width="10.85546875" customWidth="1"/>
    <col min="12" max="12" width="11.42578125" customWidth="1"/>
    <col min="13" max="13" width="12" customWidth="1"/>
    <col min="14" max="14" width="11.7109375" customWidth="1"/>
    <col min="15" max="15" width="11.140625" customWidth="1"/>
    <col min="16" max="16" width="13.42578125" customWidth="1"/>
    <col min="17" max="17" width="12.28515625" customWidth="1"/>
    <col min="18" max="18" width="13.28515625" customWidth="1"/>
    <col min="19" max="19" width="12.5703125" customWidth="1"/>
    <col min="20" max="20" width="12.7109375" customWidth="1"/>
    <col min="21" max="21" width="11.7109375" customWidth="1"/>
    <col min="22" max="22" width="10" customWidth="1"/>
    <col min="23" max="23" width="10.42578125" customWidth="1"/>
    <col min="24" max="24" width="10" customWidth="1"/>
    <col min="25" max="25" width="10.140625" customWidth="1"/>
    <col min="26" max="26" width="11.85546875" customWidth="1"/>
    <col min="27" max="27" width="10.5703125" customWidth="1"/>
    <col min="28" max="28" width="10.42578125" customWidth="1"/>
    <col min="29" max="29" width="9.42578125" customWidth="1"/>
    <col min="30" max="30" width="9.7109375" customWidth="1"/>
    <col min="31" max="31" width="11.7109375" customWidth="1"/>
    <col min="32" max="36" width="9.140625" customWidth="1"/>
    <col min="37" max="37" width="10.5703125" customWidth="1"/>
    <col min="38" max="38" width="11.28515625" customWidth="1"/>
    <col min="39" max="40" width="9.140625" customWidth="1"/>
    <col min="41" max="41" width="10.5703125" customWidth="1"/>
    <col min="42" max="42" width="12" customWidth="1"/>
    <col min="43" max="43" width="10.5703125" customWidth="1"/>
    <col min="44" max="44" width="10.42578125" customWidth="1"/>
    <col min="45" max="47" width="9.140625" customWidth="1"/>
  </cols>
  <sheetData>
    <row r="2" spans="1:47" ht="15" customHeight="1" x14ac:dyDescent="0.3">
      <c r="A2" s="95"/>
      <c r="B2" s="95"/>
      <c r="C2" s="95"/>
      <c r="D2" s="52" t="s">
        <v>326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</row>
    <row r="3" spans="1:47" ht="18.75" customHeight="1" x14ac:dyDescent="0.3">
      <c r="A3" s="95"/>
      <c r="B3" s="95"/>
      <c r="C3" s="95"/>
      <c r="D3" s="901" t="s">
        <v>327</v>
      </c>
      <c r="E3" s="902"/>
      <c r="F3" s="902"/>
      <c r="G3" s="902"/>
      <c r="H3" s="902"/>
      <c r="I3" s="620"/>
      <c r="J3" s="620"/>
      <c r="K3" s="620"/>
      <c r="L3" s="620"/>
      <c r="M3" s="425"/>
      <c r="N3" s="425"/>
      <c r="O3" s="425"/>
      <c r="P3" s="42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</row>
    <row r="4" spans="1:47" ht="15.75" customHeight="1" x14ac:dyDescent="0.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 t="s">
        <v>127</v>
      </c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</row>
    <row r="5" spans="1:47" ht="15.75" customHeigh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</row>
    <row r="6" spans="1:47" ht="40.5" customHeight="1" x14ac:dyDescent="0.3">
      <c r="A6" s="923" t="s">
        <v>0</v>
      </c>
      <c r="B6" s="905"/>
      <c r="C6" s="923" t="s">
        <v>130</v>
      </c>
      <c r="D6" s="928" t="s">
        <v>43</v>
      </c>
      <c r="E6" s="888" t="s">
        <v>44</v>
      </c>
      <c r="F6" s="928" t="s">
        <v>45</v>
      </c>
      <c r="G6" s="928" t="s">
        <v>46</v>
      </c>
      <c r="H6" s="888" t="s">
        <v>1</v>
      </c>
      <c r="I6" s="928" t="s">
        <v>224</v>
      </c>
      <c r="J6" s="928"/>
      <c r="K6" s="865" t="s">
        <v>240</v>
      </c>
      <c r="L6" s="866"/>
      <c r="M6" s="865" t="s">
        <v>328</v>
      </c>
      <c r="N6" s="866"/>
      <c r="O6" s="865" t="s">
        <v>329</v>
      </c>
      <c r="P6" s="866"/>
      <c r="Q6" s="933" t="s">
        <v>186</v>
      </c>
      <c r="R6" s="934"/>
      <c r="S6" s="867" t="s">
        <v>248</v>
      </c>
      <c r="T6" s="867"/>
      <c r="U6" s="931" t="s">
        <v>232</v>
      </c>
      <c r="V6" s="862" t="s">
        <v>224</v>
      </c>
      <c r="W6" s="877" t="s">
        <v>3</v>
      </c>
      <c r="X6" s="862" t="s">
        <v>251</v>
      </c>
      <c r="Y6" s="862" t="s">
        <v>189</v>
      </c>
      <c r="Z6" s="862" t="s">
        <v>190</v>
      </c>
      <c r="AA6" s="862" t="s">
        <v>308</v>
      </c>
      <c r="AB6" s="873" t="s">
        <v>445</v>
      </c>
      <c r="AC6" s="862" t="s">
        <v>250</v>
      </c>
      <c r="AD6" s="877" t="s">
        <v>240</v>
      </c>
      <c r="AE6" s="870" t="s">
        <v>367</v>
      </c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</row>
    <row r="7" spans="1:47" ht="41.25" customHeight="1" x14ac:dyDescent="0.3">
      <c r="A7" s="923"/>
      <c r="B7" s="906"/>
      <c r="C7" s="923"/>
      <c r="D7" s="928"/>
      <c r="E7" s="889"/>
      <c r="F7" s="928"/>
      <c r="G7" s="928"/>
      <c r="H7" s="889"/>
      <c r="I7" s="82" t="s">
        <v>4</v>
      </c>
      <c r="J7" s="621" t="s">
        <v>5</v>
      </c>
      <c r="K7" s="82" t="s">
        <v>4</v>
      </c>
      <c r="L7" s="621" t="s">
        <v>5</v>
      </c>
      <c r="M7" s="82" t="s">
        <v>4</v>
      </c>
      <c r="N7" s="426" t="s">
        <v>5</v>
      </c>
      <c r="O7" s="82" t="s">
        <v>4</v>
      </c>
      <c r="P7" s="426" t="s">
        <v>5</v>
      </c>
      <c r="Q7" s="478" t="s">
        <v>4</v>
      </c>
      <c r="R7" s="479" t="s">
        <v>5</v>
      </c>
      <c r="S7" s="82" t="s">
        <v>4</v>
      </c>
      <c r="T7" s="426" t="s">
        <v>5</v>
      </c>
      <c r="U7" s="932"/>
      <c r="V7" s="863"/>
      <c r="W7" s="878"/>
      <c r="X7" s="863"/>
      <c r="Y7" s="864"/>
      <c r="Z7" s="863"/>
      <c r="AA7" s="863"/>
      <c r="AB7" s="874"/>
      <c r="AC7" s="863"/>
      <c r="AD7" s="878"/>
      <c r="AE7" s="871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</row>
    <row r="8" spans="1:47" ht="15" customHeight="1" x14ac:dyDescent="0.3">
      <c r="A8" s="509">
        <v>1</v>
      </c>
      <c r="B8" s="208">
        <v>42569</v>
      </c>
      <c r="C8" s="42" t="s">
        <v>80</v>
      </c>
      <c r="D8" s="270">
        <v>1965</v>
      </c>
      <c r="E8" s="270">
        <v>2</v>
      </c>
      <c r="F8" s="270">
        <v>16</v>
      </c>
      <c r="G8" s="142">
        <v>35</v>
      </c>
      <c r="H8" s="287">
        <v>653.4</v>
      </c>
      <c r="I8" s="287"/>
      <c r="J8" s="287">
        <v>6.28</v>
      </c>
      <c r="K8" s="287">
        <v>593.28</v>
      </c>
      <c r="L8" s="287">
        <v>462.59</v>
      </c>
      <c r="M8" s="287"/>
      <c r="N8" s="287">
        <v>23.13</v>
      </c>
      <c r="O8" s="287">
        <v>659.59</v>
      </c>
      <c r="P8" s="287">
        <v>518.09</v>
      </c>
      <c r="Q8" s="717">
        <v>93341.4</v>
      </c>
      <c r="R8" s="717">
        <v>72921.460000000006</v>
      </c>
      <c r="S8" s="284">
        <f>I8+K8+M8+O8+Q8</f>
        <v>94594.26999999999</v>
      </c>
      <c r="T8" s="284">
        <f>J8+L8+N8+P8+R8</f>
        <v>73931.55</v>
      </c>
      <c r="U8" s="740">
        <f>V8+W8+X8+Y8+Z8+AA8+AB8+AC8+AD8</f>
        <v>98096.39</v>
      </c>
      <c r="V8" s="284">
        <v>466.51</v>
      </c>
      <c r="W8" s="284">
        <v>58242.54</v>
      </c>
      <c r="X8" s="284">
        <v>254.35</v>
      </c>
      <c r="Y8" s="284">
        <v>21533.81</v>
      </c>
      <c r="Z8" s="284">
        <v>2258.67</v>
      </c>
      <c r="AA8" s="284">
        <v>418.89</v>
      </c>
      <c r="AB8" s="284">
        <v>12852.29</v>
      </c>
      <c r="AC8" s="284">
        <v>1968.85</v>
      </c>
      <c r="AD8" s="284">
        <v>100.48</v>
      </c>
      <c r="AE8" s="728">
        <f>S8-U8</f>
        <v>-3502.1200000000099</v>
      </c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</row>
    <row r="9" spans="1:47" ht="15" customHeight="1" x14ac:dyDescent="0.3">
      <c r="A9" s="15">
        <v>2</v>
      </c>
      <c r="B9" s="208">
        <v>42569</v>
      </c>
      <c r="C9" s="36" t="s">
        <v>81</v>
      </c>
      <c r="D9" s="285">
        <v>1965</v>
      </c>
      <c r="E9" s="285">
        <v>2</v>
      </c>
      <c r="F9" s="285">
        <v>16</v>
      </c>
      <c r="G9" s="276">
        <v>31</v>
      </c>
      <c r="H9" s="341">
        <v>658.2</v>
      </c>
      <c r="I9" s="341"/>
      <c r="J9" s="341">
        <v>41.86</v>
      </c>
      <c r="K9" s="341">
        <v>593.28</v>
      </c>
      <c r="L9" s="341">
        <v>492.57</v>
      </c>
      <c r="M9" s="341"/>
      <c r="N9" s="341">
        <v>68.19</v>
      </c>
      <c r="O9" s="341">
        <v>254.38</v>
      </c>
      <c r="P9" s="341">
        <v>243.28</v>
      </c>
      <c r="Q9" s="717">
        <v>107075.76</v>
      </c>
      <c r="R9" s="717">
        <v>85481.66</v>
      </c>
      <c r="S9" s="284">
        <f t="shared" ref="S9:S26" si="0">I9+K9+M9+O9+Q9</f>
        <v>107923.42</v>
      </c>
      <c r="T9" s="284">
        <f t="shared" ref="T9:T26" si="1">J9+L9+N9+P9+R9</f>
        <v>86327.56</v>
      </c>
      <c r="U9" s="740">
        <f t="shared" ref="U9:U26" si="2">V9+W9+X9+Y9+Z9+AA9+AB9+AC9+AD9</f>
        <v>96612.75</v>
      </c>
      <c r="V9" s="284">
        <v>469.37</v>
      </c>
      <c r="W9" s="284">
        <v>57478.45</v>
      </c>
      <c r="X9" s="284">
        <v>291.26</v>
      </c>
      <c r="Y9" s="284">
        <v>21665.5</v>
      </c>
      <c r="Z9" s="284">
        <v>2272.4499999999998</v>
      </c>
      <c r="AA9" s="284">
        <v>421.45</v>
      </c>
      <c r="AB9" s="284">
        <v>12930.88</v>
      </c>
      <c r="AC9" s="284">
        <v>982.89</v>
      </c>
      <c r="AD9" s="284">
        <v>100.5</v>
      </c>
      <c r="AE9" s="728">
        <f t="shared" ref="AE9:AE26" si="3">S9-U9</f>
        <v>11310.669999999998</v>
      </c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</row>
    <row r="10" spans="1:47" ht="15" customHeight="1" x14ac:dyDescent="0.3">
      <c r="A10" s="15">
        <v>3</v>
      </c>
      <c r="B10" s="208">
        <v>42569</v>
      </c>
      <c r="C10" s="36" t="s">
        <v>82</v>
      </c>
      <c r="D10" s="285">
        <v>1965</v>
      </c>
      <c r="E10" s="285">
        <v>2</v>
      </c>
      <c r="F10" s="285">
        <v>16</v>
      </c>
      <c r="G10" s="142">
        <v>36</v>
      </c>
      <c r="H10" s="341">
        <v>663.6</v>
      </c>
      <c r="I10" s="341"/>
      <c r="J10" s="341">
        <v>25.96</v>
      </c>
      <c r="K10" s="341">
        <v>593.16</v>
      </c>
      <c r="L10" s="341">
        <v>450.93</v>
      </c>
      <c r="M10" s="341"/>
      <c r="N10" s="341">
        <v>29.23</v>
      </c>
      <c r="O10" s="341">
        <v>659.66</v>
      </c>
      <c r="P10" s="341">
        <v>491.3</v>
      </c>
      <c r="Q10" s="717">
        <v>94682.64</v>
      </c>
      <c r="R10" s="717">
        <v>75049.61</v>
      </c>
      <c r="S10" s="284">
        <f t="shared" si="0"/>
        <v>95935.46</v>
      </c>
      <c r="T10" s="284">
        <f t="shared" si="1"/>
        <v>76047.03</v>
      </c>
      <c r="U10" s="740">
        <f t="shared" si="2"/>
        <v>100816.37000000001</v>
      </c>
      <c r="V10" s="284">
        <v>473.14</v>
      </c>
      <c r="W10" s="284">
        <v>58796.92</v>
      </c>
      <c r="X10" s="284">
        <v>396.13</v>
      </c>
      <c r="Y10" s="284">
        <v>21843.19</v>
      </c>
      <c r="Z10" s="284">
        <v>2291.11</v>
      </c>
      <c r="AA10" s="284">
        <v>424.91</v>
      </c>
      <c r="AB10" s="284">
        <v>13036.94</v>
      </c>
      <c r="AC10" s="284">
        <v>3453.57</v>
      </c>
      <c r="AD10" s="284">
        <v>100.46</v>
      </c>
      <c r="AE10" s="728">
        <f t="shared" si="3"/>
        <v>-4880.9100000000035</v>
      </c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</row>
    <row r="11" spans="1:47" ht="15" customHeight="1" x14ac:dyDescent="0.3">
      <c r="A11" s="15">
        <v>4</v>
      </c>
      <c r="B11" s="208">
        <v>42569</v>
      </c>
      <c r="C11" s="36" t="s">
        <v>83</v>
      </c>
      <c r="D11" s="285">
        <v>1965</v>
      </c>
      <c r="E11" s="285">
        <v>2</v>
      </c>
      <c r="F11" s="285">
        <v>16</v>
      </c>
      <c r="G11" s="276">
        <v>39</v>
      </c>
      <c r="H11" s="341">
        <v>654.70000000000005</v>
      </c>
      <c r="I11" s="341"/>
      <c r="J11" s="341">
        <v>136.38999999999999</v>
      </c>
      <c r="K11" s="341">
        <v>592.98</v>
      </c>
      <c r="L11" s="341">
        <v>598.44000000000005</v>
      </c>
      <c r="M11" s="341"/>
      <c r="N11" s="341">
        <v>188.6</v>
      </c>
      <c r="O11" s="341">
        <v>690.67</v>
      </c>
      <c r="P11" s="341">
        <v>654.66999999999996</v>
      </c>
      <c r="Q11" s="717">
        <v>93412.92</v>
      </c>
      <c r="R11" s="717">
        <v>89523.54</v>
      </c>
      <c r="S11" s="284">
        <f t="shared" si="0"/>
        <v>94696.569999999992</v>
      </c>
      <c r="T11" s="284">
        <f t="shared" si="1"/>
        <v>91101.64</v>
      </c>
      <c r="U11" s="740">
        <f t="shared" si="2"/>
        <v>99827.9</v>
      </c>
      <c r="V11" s="284">
        <v>466.87</v>
      </c>
      <c r="W11" s="284">
        <v>58272.03</v>
      </c>
      <c r="X11" s="284">
        <v>395.68</v>
      </c>
      <c r="Y11" s="284">
        <v>21550.29</v>
      </c>
      <c r="Z11" s="284">
        <v>2260.39</v>
      </c>
      <c r="AA11" s="284">
        <v>419.21</v>
      </c>
      <c r="AB11" s="284">
        <v>12862.12</v>
      </c>
      <c r="AC11" s="284">
        <v>3500.83</v>
      </c>
      <c r="AD11" s="284">
        <v>100.48</v>
      </c>
      <c r="AE11" s="728">
        <f t="shared" si="3"/>
        <v>-5131.3300000000017</v>
      </c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</row>
    <row r="12" spans="1:47" ht="15" customHeight="1" x14ac:dyDescent="0.3">
      <c r="A12" s="15">
        <v>5</v>
      </c>
      <c r="B12" s="208">
        <v>42569</v>
      </c>
      <c r="C12" s="36" t="s">
        <v>84</v>
      </c>
      <c r="D12" s="285">
        <v>1995</v>
      </c>
      <c r="E12" s="285">
        <v>2</v>
      </c>
      <c r="F12" s="285">
        <v>8</v>
      </c>
      <c r="G12" s="142">
        <v>23</v>
      </c>
      <c r="H12" s="341">
        <v>548.70000000000005</v>
      </c>
      <c r="I12" s="341"/>
      <c r="J12" s="341">
        <v>7.01</v>
      </c>
      <c r="K12" s="341">
        <v>805.2</v>
      </c>
      <c r="L12" s="341">
        <v>820.64</v>
      </c>
      <c r="M12" s="341"/>
      <c r="N12" s="341"/>
      <c r="O12" s="341">
        <v>1252.74</v>
      </c>
      <c r="P12" s="341">
        <v>1264.8599999999999</v>
      </c>
      <c r="Q12" s="717">
        <v>84807.24</v>
      </c>
      <c r="R12" s="717">
        <v>86720.58</v>
      </c>
      <c r="S12" s="284">
        <f t="shared" si="0"/>
        <v>86865.180000000008</v>
      </c>
      <c r="T12" s="284">
        <f t="shared" si="1"/>
        <v>88813.09</v>
      </c>
      <c r="U12" s="740">
        <f t="shared" si="2"/>
        <v>66685.84</v>
      </c>
      <c r="V12" s="284">
        <v>391.28</v>
      </c>
      <c r="W12" s="284">
        <v>32364.61</v>
      </c>
      <c r="X12" s="284">
        <v>459.9</v>
      </c>
      <c r="Y12" s="284">
        <v>18061.16</v>
      </c>
      <c r="Z12" s="284">
        <v>1894.41</v>
      </c>
      <c r="AA12" s="284">
        <v>351.34</v>
      </c>
      <c r="AB12" s="284">
        <v>10779.67</v>
      </c>
      <c r="AC12" s="284">
        <v>2247.11</v>
      </c>
      <c r="AD12" s="284">
        <v>136.36000000000001</v>
      </c>
      <c r="AE12" s="728">
        <f t="shared" si="3"/>
        <v>20179.340000000011</v>
      </c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</row>
    <row r="13" spans="1:47" ht="15" customHeight="1" x14ac:dyDescent="0.3">
      <c r="A13" s="15">
        <v>6</v>
      </c>
      <c r="B13" s="208">
        <v>42569</v>
      </c>
      <c r="C13" s="36" t="s">
        <v>85</v>
      </c>
      <c r="D13" s="285">
        <v>1995</v>
      </c>
      <c r="E13" s="285">
        <v>2</v>
      </c>
      <c r="F13" s="285">
        <v>8</v>
      </c>
      <c r="G13" s="276">
        <v>27</v>
      </c>
      <c r="H13" s="341">
        <v>548.6</v>
      </c>
      <c r="I13" s="341"/>
      <c r="J13" s="341">
        <v>15.75</v>
      </c>
      <c r="K13" s="341">
        <v>805.2</v>
      </c>
      <c r="L13" s="341">
        <v>794.19</v>
      </c>
      <c r="M13" s="341"/>
      <c r="N13" s="341">
        <v>33.130000000000003</v>
      </c>
      <c r="O13" s="341">
        <v>1237.17</v>
      </c>
      <c r="P13" s="341">
        <v>1198.55</v>
      </c>
      <c r="Q13" s="717">
        <v>84791.76</v>
      </c>
      <c r="R13" s="717">
        <v>88824.639999999999</v>
      </c>
      <c r="S13" s="284">
        <f t="shared" si="0"/>
        <v>86834.12999999999</v>
      </c>
      <c r="T13" s="284">
        <f t="shared" si="1"/>
        <v>90866.26</v>
      </c>
      <c r="U13" s="740">
        <f t="shared" si="2"/>
        <v>69694.540000000008</v>
      </c>
      <c r="V13" s="284">
        <v>391.2</v>
      </c>
      <c r="W13" s="284">
        <v>32358.7</v>
      </c>
      <c r="X13" s="284">
        <v>257.35000000000002</v>
      </c>
      <c r="Y13" s="284">
        <v>18057.86</v>
      </c>
      <c r="Z13" s="284">
        <v>1894.05</v>
      </c>
      <c r="AA13" s="284">
        <v>351.28</v>
      </c>
      <c r="AB13" s="284">
        <v>10777.68</v>
      </c>
      <c r="AC13" s="284">
        <v>5470.06</v>
      </c>
      <c r="AD13" s="284">
        <v>136.36000000000001</v>
      </c>
      <c r="AE13" s="728">
        <f t="shared" si="3"/>
        <v>17139.589999999982</v>
      </c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</row>
    <row r="14" spans="1:47" ht="15" customHeight="1" x14ac:dyDescent="0.3">
      <c r="A14" s="15">
        <v>7</v>
      </c>
      <c r="B14" s="208">
        <v>42569</v>
      </c>
      <c r="C14" s="36" t="s">
        <v>86</v>
      </c>
      <c r="D14" s="285">
        <v>1995</v>
      </c>
      <c r="E14" s="285">
        <v>2</v>
      </c>
      <c r="F14" s="285">
        <v>8</v>
      </c>
      <c r="G14" s="142">
        <v>30</v>
      </c>
      <c r="H14" s="341">
        <v>544.20000000000005</v>
      </c>
      <c r="I14" s="341"/>
      <c r="J14" s="341">
        <v>7.11</v>
      </c>
      <c r="K14" s="341">
        <v>805.14</v>
      </c>
      <c r="L14" s="341">
        <v>436.08</v>
      </c>
      <c r="M14" s="341"/>
      <c r="N14" s="341">
        <v>9.16</v>
      </c>
      <c r="O14" s="341">
        <v>536.1</v>
      </c>
      <c r="P14" s="341">
        <v>247.35</v>
      </c>
      <c r="Q14" s="717">
        <v>84111.6</v>
      </c>
      <c r="R14" s="717">
        <v>45927.42</v>
      </c>
      <c r="S14" s="284">
        <f t="shared" si="0"/>
        <v>85452.840000000011</v>
      </c>
      <c r="T14" s="284">
        <f t="shared" si="1"/>
        <v>46627.119999999995</v>
      </c>
      <c r="U14" s="740">
        <f t="shared" si="2"/>
        <v>64745.93</v>
      </c>
      <c r="V14" s="284">
        <v>388.07</v>
      </c>
      <c r="W14" s="284">
        <v>32099.18</v>
      </c>
      <c r="X14" s="284">
        <v>257.13</v>
      </c>
      <c r="Y14" s="284">
        <v>17913.04</v>
      </c>
      <c r="Z14" s="284">
        <v>1878.87</v>
      </c>
      <c r="AA14" s="284">
        <v>348.46</v>
      </c>
      <c r="AB14" s="284">
        <v>10691.26</v>
      </c>
      <c r="AC14" s="284">
        <v>1033.54</v>
      </c>
      <c r="AD14" s="284">
        <v>136.38</v>
      </c>
      <c r="AE14" s="728">
        <f t="shared" si="3"/>
        <v>20706.910000000011</v>
      </c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</row>
    <row r="15" spans="1:47" ht="15" customHeight="1" x14ac:dyDescent="0.3">
      <c r="A15" s="15">
        <v>8</v>
      </c>
      <c r="B15" s="208">
        <v>42569</v>
      </c>
      <c r="C15" s="36" t="s">
        <v>87</v>
      </c>
      <c r="D15" s="285">
        <v>1995</v>
      </c>
      <c r="E15" s="285">
        <v>2</v>
      </c>
      <c r="F15" s="285">
        <v>8</v>
      </c>
      <c r="G15" s="276">
        <v>29</v>
      </c>
      <c r="H15" s="341">
        <v>548.70000000000005</v>
      </c>
      <c r="I15" s="341"/>
      <c r="J15" s="341"/>
      <c r="K15" s="341">
        <v>805.2</v>
      </c>
      <c r="L15" s="341">
        <v>752.96</v>
      </c>
      <c r="M15" s="341"/>
      <c r="N15" s="341">
        <v>3.45</v>
      </c>
      <c r="O15" s="341">
        <v>1052.3</v>
      </c>
      <c r="P15" s="341">
        <v>947.62</v>
      </c>
      <c r="Q15" s="717">
        <v>84807.24</v>
      </c>
      <c r="R15" s="717">
        <v>79508.92</v>
      </c>
      <c r="S15" s="284">
        <f t="shared" si="0"/>
        <v>86664.74</v>
      </c>
      <c r="T15" s="284">
        <f t="shared" si="1"/>
        <v>81212.95</v>
      </c>
      <c r="U15" s="740">
        <f t="shared" si="2"/>
        <v>66013.67</v>
      </c>
      <c r="V15" s="284">
        <v>391.28</v>
      </c>
      <c r="W15" s="284">
        <v>32364.61</v>
      </c>
      <c r="X15" s="284">
        <v>239.01</v>
      </c>
      <c r="Y15" s="284">
        <v>18061.16</v>
      </c>
      <c r="Z15" s="284">
        <v>1894.41</v>
      </c>
      <c r="AA15" s="284">
        <v>351.34</v>
      </c>
      <c r="AB15" s="284">
        <v>10779.67</v>
      </c>
      <c r="AC15" s="284">
        <v>1795.83</v>
      </c>
      <c r="AD15" s="284">
        <v>136.36000000000001</v>
      </c>
      <c r="AE15" s="728">
        <f t="shared" si="3"/>
        <v>20651.070000000007</v>
      </c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</row>
    <row r="16" spans="1:47" ht="15" customHeight="1" x14ac:dyDescent="0.3">
      <c r="A16" s="15">
        <v>9</v>
      </c>
      <c r="B16" s="208">
        <v>42569</v>
      </c>
      <c r="C16" s="36" t="s">
        <v>88</v>
      </c>
      <c r="D16" s="285">
        <v>1958</v>
      </c>
      <c r="E16" s="285">
        <v>1</v>
      </c>
      <c r="F16" s="285">
        <v>3</v>
      </c>
      <c r="G16" s="142">
        <v>7</v>
      </c>
      <c r="H16" s="286">
        <v>111.3</v>
      </c>
      <c r="I16" s="286"/>
      <c r="J16" s="286">
        <v>45.56</v>
      </c>
      <c r="K16" s="286"/>
      <c r="L16" s="286"/>
      <c r="M16" s="286"/>
      <c r="N16" s="286"/>
      <c r="O16" s="286"/>
      <c r="P16" s="286"/>
      <c r="Q16" s="717">
        <v>11633.16</v>
      </c>
      <c r="R16" s="717">
        <v>8670.08</v>
      </c>
      <c r="S16" s="284">
        <f t="shared" si="0"/>
        <v>11633.16</v>
      </c>
      <c r="T16" s="284">
        <f t="shared" si="1"/>
        <v>8715.64</v>
      </c>
      <c r="U16" s="740">
        <f t="shared" si="2"/>
        <v>11609.090000000002</v>
      </c>
      <c r="V16" s="284">
        <v>79.38</v>
      </c>
      <c r="W16" s="284">
        <v>6564.94</v>
      </c>
      <c r="X16" s="284">
        <v>5.81</v>
      </c>
      <c r="Y16" s="284">
        <v>3663.59</v>
      </c>
      <c r="Z16" s="284">
        <v>384.27</v>
      </c>
      <c r="AA16" s="284">
        <v>71.27</v>
      </c>
      <c r="AB16" s="284">
        <v>839.83</v>
      </c>
      <c r="AC16" s="284"/>
      <c r="AD16" s="284"/>
      <c r="AE16" s="728">
        <f t="shared" si="3"/>
        <v>24.06999999999789</v>
      </c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</row>
    <row r="17" spans="1:47" ht="15" customHeight="1" x14ac:dyDescent="0.3">
      <c r="A17" s="15">
        <v>10</v>
      </c>
      <c r="B17" s="209">
        <v>42401</v>
      </c>
      <c r="C17" s="36" t="s">
        <v>89</v>
      </c>
      <c r="D17" s="285">
        <v>1958</v>
      </c>
      <c r="E17" s="285">
        <v>1</v>
      </c>
      <c r="F17" s="285">
        <v>3</v>
      </c>
      <c r="G17" s="276">
        <v>10</v>
      </c>
      <c r="H17" s="286">
        <v>118</v>
      </c>
      <c r="I17" s="286"/>
      <c r="J17" s="286"/>
      <c r="K17" s="286"/>
      <c r="L17" s="286"/>
      <c r="M17" s="286"/>
      <c r="N17" s="286"/>
      <c r="O17" s="286"/>
      <c r="P17" s="286"/>
      <c r="Q17" s="717">
        <v>8198.64</v>
      </c>
      <c r="R17" s="717">
        <v>8198.64</v>
      </c>
      <c r="S17" s="284">
        <f t="shared" si="0"/>
        <v>8198.64</v>
      </c>
      <c r="T17" s="284">
        <f t="shared" si="1"/>
        <v>8198.64</v>
      </c>
      <c r="U17" s="740">
        <f t="shared" si="2"/>
        <v>12307.949999999999</v>
      </c>
      <c r="V17" s="284">
        <v>84.15</v>
      </c>
      <c r="W17" s="284">
        <v>6960.14</v>
      </c>
      <c r="X17" s="284">
        <v>6.16</v>
      </c>
      <c r="Y17" s="284">
        <v>3884.13</v>
      </c>
      <c r="Z17" s="284">
        <v>407.41</v>
      </c>
      <c r="AA17" s="284">
        <v>75.56</v>
      </c>
      <c r="AB17" s="284">
        <v>890.4</v>
      </c>
      <c r="AC17" s="284"/>
      <c r="AD17" s="284"/>
      <c r="AE17" s="728">
        <f t="shared" si="3"/>
        <v>-4109.3099999999995</v>
      </c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</row>
    <row r="18" spans="1:47" ht="15" customHeight="1" x14ac:dyDescent="0.3">
      <c r="A18" s="15">
        <v>11</v>
      </c>
      <c r="B18" s="208">
        <v>42569</v>
      </c>
      <c r="C18" s="36" t="s">
        <v>90</v>
      </c>
      <c r="D18" s="285">
        <v>1958</v>
      </c>
      <c r="E18" s="285">
        <v>1</v>
      </c>
      <c r="F18" s="285">
        <v>4</v>
      </c>
      <c r="G18" s="142">
        <v>4</v>
      </c>
      <c r="H18" s="286">
        <v>115.8</v>
      </c>
      <c r="I18" s="286"/>
      <c r="J18" s="286"/>
      <c r="K18" s="286"/>
      <c r="L18" s="286"/>
      <c r="M18" s="286"/>
      <c r="N18" s="286"/>
      <c r="O18" s="286"/>
      <c r="P18" s="286"/>
      <c r="Q18" s="717">
        <v>12131.28</v>
      </c>
      <c r="R18" s="717">
        <v>6648.63</v>
      </c>
      <c r="S18" s="284">
        <f t="shared" si="0"/>
        <v>12131.28</v>
      </c>
      <c r="T18" s="284">
        <f t="shared" si="1"/>
        <v>6648.63</v>
      </c>
      <c r="U18" s="740">
        <f t="shared" si="2"/>
        <v>12738.489999999998</v>
      </c>
      <c r="V18" s="284">
        <v>82.58</v>
      </c>
      <c r="W18" s="284">
        <v>6830.36</v>
      </c>
      <c r="X18" s="284">
        <v>6.04</v>
      </c>
      <c r="Y18" s="284">
        <v>3811.71</v>
      </c>
      <c r="Z18" s="284">
        <v>399.81</v>
      </c>
      <c r="AA18" s="284">
        <v>74.150000000000006</v>
      </c>
      <c r="AB18" s="284">
        <v>1533.84</v>
      </c>
      <c r="AC18" s="284"/>
      <c r="AD18" s="284"/>
      <c r="AE18" s="728">
        <f t="shared" si="3"/>
        <v>-607.20999999999731</v>
      </c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</row>
    <row r="19" spans="1:47" ht="15" customHeight="1" x14ac:dyDescent="0.3">
      <c r="A19" s="15">
        <v>12</v>
      </c>
      <c r="B19" s="209">
        <v>42401</v>
      </c>
      <c r="C19" s="36" t="s">
        <v>91</v>
      </c>
      <c r="D19" s="285">
        <v>1958</v>
      </c>
      <c r="E19" s="285">
        <v>1</v>
      </c>
      <c r="F19" s="285">
        <v>4</v>
      </c>
      <c r="G19" s="276">
        <v>9</v>
      </c>
      <c r="H19" s="286">
        <v>162.1</v>
      </c>
      <c r="I19" s="286"/>
      <c r="J19" s="286">
        <v>2.72</v>
      </c>
      <c r="K19" s="286"/>
      <c r="L19" s="286"/>
      <c r="M19" s="286"/>
      <c r="N19" s="286"/>
      <c r="O19" s="286"/>
      <c r="P19" s="286"/>
      <c r="Q19" s="717">
        <v>12429.84</v>
      </c>
      <c r="R19" s="717">
        <v>11072.93</v>
      </c>
      <c r="S19" s="284">
        <f t="shared" si="0"/>
        <v>12429.84</v>
      </c>
      <c r="T19" s="284">
        <f t="shared" si="1"/>
        <v>11075.65</v>
      </c>
      <c r="U19" s="740">
        <f t="shared" si="2"/>
        <v>17831.670000000002</v>
      </c>
      <c r="V19" s="284">
        <v>115.6</v>
      </c>
      <c r="W19" s="284">
        <v>9561.35</v>
      </c>
      <c r="X19" s="284">
        <v>8.4600000000000009</v>
      </c>
      <c r="Y19" s="284">
        <v>5335.72</v>
      </c>
      <c r="Z19" s="284">
        <v>559.65</v>
      </c>
      <c r="AA19" s="284">
        <v>103.79</v>
      </c>
      <c r="AB19" s="284">
        <v>2147.1</v>
      </c>
      <c r="AC19" s="284"/>
      <c r="AD19" s="284"/>
      <c r="AE19" s="728">
        <f t="shared" si="3"/>
        <v>-5401.8300000000017</v>
      </c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</row>
    <row r="20" spans="1:47" ht="15" customHeight="1" x14ac:dyDescent="0.3">
      <c r="A20" s="15">
        <v>13</v>
      </c>
      <c r="B20" s="209">
        <v>42461</v>
      </c>
      <c r="C20" s="36" t="s">
        <v>92</v>
      </c>
      <c r="D20" s="285">
        <v>1959</v>
      </c>
      <c r="E20" s="285">
        <v>1</v>
      </c>
      <c r="F20" s="285">
        <v>4</v>
      </c>
      <c r="G20" s="142">
        <v>8</v>
      </c>
      <c r="H20" s="286">
        <v>135.6</v>
      </c>
      <c r="I20" s="286"/>
      <c r="J20" s="286">
        <v>1.76</v>
      </c>
      <c r="K20" s="286"/>
      <c r="L20" s="286"/>
      <c r="M20" s="286"/>
      <c r="N20" s="286"/>
      <c r="O20" s="286"/>
      <c r="P20" s="286"/>
      <c r="Q20" s="717">
        <v>10397.879999999999</v>
      </c>
      <c r="R20" s="717">
        <v>10103.19</v>
      </c>
      <c r="S20" s="284">
        <f t="shared" si="0"/>
        <v>10397.879999999999</v>
      </c>
      <c r="T20" s="284">
        <f t="shared" si="1"/>
        <v>10104.950000000001</v>
      </c>
      <c r="U20" s="740">
        <f t="shared" si="2"/>
        <v>14916.59</v>
      </c>
      <c r="V20" s="284">
        <v>96.7</v>
      </c>
      <c r="W20" s="284">
        <v>7998.26</v>
      </c>
      <c r="X20" s="284">
        <v>7.08</v>
      </c>
      <c r="Y20" s="284">
        <v>4463.47</v>
      </c>
      <c r="Z20" s="284">
        <v>468.17</v>
      </c>
      <c r="AA20" s="284">
        <v>86.83</v>
      </c>
      <c r="AB20" s="284">
        <v>1796.08</v>
      </c>
      <c r="AC20" s="284"/>
      <c r="AD20" s="284"/>
      <c r="AE20" s="728">
        <f t="shared" si="3"/>
        <v>-4518.7100000000009</v>
      </c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</row>
    <row r="21" spans="1:47" ht="15" customHeight="1" x14ac:dyDescent="0.3">
      <c r="A21" s="15">
        <v>14</v>
      </c>
      <c r="B21" s="208">
        <v>42569</v>
      </c>
      <c r="C21" s="36" t="s">
        <v>93</v>
      </c>
      <c r="D21" s="285">
        <v>1958</v>
      </c>
      <c r="E21" s="285">
        <v>1</v>
      </c>
      <c r="F21" s="285">
        <v>4</v>
      </c>
      <c r="G21" s="276">
        <v>12</v>
      </c>
      <c r="H21" s="286">
        <v>115.2</v>
      </c>
      <c r="I21" s="286">
        <v>169.92</v>
      </c>
      <c r="J21" s="286">
        <v>69.05</v>
      </c>
      <c r="K21" s="286"/>
      <c r="L21" s="286"/>
      <c r="M21" s="286"/>
      <c r="N21" s="286"/>
      <c r="O21" s="286"/>
      <c r="P21" s="286"/>
      <c r="Q21" s="717">
        <v>9855.36</v>
      </c>
      <c r="R21" s="717">
        <v>4004.62</v>
      </c>
      <c r="S21" s="284">
        <f t="shared" si="0"/>
        <v>10025.280000000001</v>
      </c>
      <c r="T21" s="284">
        <f t="shared" si="1"/>
        <v>4073.67</v>
      </c>
      <c r="U21" s="740">
        <f t="shared" si="2"/>
        <v>12368.11</v>
      </c>
      <c r="V21" s="284">
        <v>82.14</v>
      </c>
      <c r="W21" s="284">
        <v>6794.99</v>
      </c>
      <c r="X21" s="284">
        <v>6.01</v>
      </c>
      <c r="Y21" s="284">
        <v>3791.96</v>
      </c>
      <c r="Z21" s="284">
        <v>397.72</v>
      </c>
      <c r="AA21" s="284">
        <v>73.760000000000005</v>
      </c>
      <c r="AB21" s="284">
        <v>1221.53</v>
      </c>
      <c r="AC21" s="284"/>
      <c r="AD21" s="284"/>
      <c r="AE21" s="728">
        <f t="shared" si="3"/>
        <v>-2342.83</v>
      </c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</row>
    <row r="22" spans="1:47" ht="15" customHeight="1" x14ac:dyDescent="0.3">
      <c r="A22" s="15">
        <v>15</v>
      </c>
      <c r="B22" s="209">
        <v>42401</v>
      </c>
      <c r="C22" s="36" t="s">
        <v>94</v>
      </c>
      <c r="D22" s="285">
        <v>1958</v>
      </c>
      <c r="E22" s="285">
        <v>1</v>
      </c>
      <c r="F22" s="285">
        <v>3</v>
      </c>
      <c r="G22" s="142">
        <v>7</v>
      </c>
      <c r="H22" s="286">
        <v>122.3</v>
      </c>
      <c r="I22" s="286"/>
      <c r="J22" s="286">
        <v>3.02</v>
      </c>
      <c r="K22" s="286"/>
      <c r="L22" s="286"/>
      <c r="M22" s="286"/>
      <c r="N22" s="286"/>
      <c r="O22" s="286"/>
      <c r="P22" s="286"/>
      <c r="Q22" s="717">
        <v>9378</v>
      </c>
      <c r="R22" s="717">
        <v>8831.6</v>
      </c>
      <c r="S22" s="284">
        <f t="shared" si="0"/>
        <v>9378</v>
      </c>
      <c r="T22" s="284">
        <f t="shared" si="1"/>
        <v>8834.6200000000008</v>
      </c>
      <c r="U22" s="740">
        <f t="shared" si="2"/>
        <v>13453.51</v>
      </c>
      <c r="V22" s="284">
        <v>87.21</v>
      </c>
      <c r="W22" s="284">
        <v>7213.76</v>
      </c>
      <c r="X22" s="284">
        <v>6.38</v>
      </c>
      <c r="Y22" s="284">
        <v>4025.66</v>
      </c>
      <c r="Z22" s="284">
        <v>422.25</v>
      </c>
      <c r="AA22" s="284">
        <v>78.31</v>
      </c>
      <c r="AB22" s="284">
        <v>1619.94</v>
      </c>
      <c r="AC22" s="284"/>
      <c r="AD22" s="284"/>
      <c r="AE22" s="728">
        <f t="shared" si="3"/>
        <v>-4075.51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</row>
    <row r="23" spans="1:47" ht="15" customHeight="1" x14ac:dyDescent="0.3">
      <c r="A23" s="15">
        <v>16</v>
      </c>
      <c r="B23" s="209">
        <v>42401</v>
      </c>
      <c r="C23" s="36" t="s">
        <v>95</v>
      </c>
      <c r="D23" s="285">
        <v>1958</v>
      </c>
      <c r="E23" s="285">
        <v>1</v>
      </c>
      <c r="F23" s="285">
        <v>4</v>
      </c>
      <c r="G23" s="239">
        <v>7</v>
      </c>
      <c r="H23" s="286">
        <v>154.6</v>
      </c>
      <c r="I23" s="286"/>
      <c r="J23" s="286"/>
      <c r="K23" s="286"/>
      <c r="L23" s="286"/>
      <c r="M23" s="286"/>
      <c r="N23" s="286"/>
      <c r="O23" s="286"/>
      <c r="P23" s="286"/>
      <c r="Q23" s="717">
        <v>11854.8</v>
      </c>
      <c r="R23" s="717">
        <v>8005.44</v>
      </c>
      <c r="S23" s="284">
        <f t="shared" si="0"/>
        <v>11854.8</v>
      </c>
      <c r="T23" s="284">
        <f t="shared" si="1"/>
        <v>8005.44</v>
      </c>
      <c r="U23" s="740">
        <f t="shared" si="2"/>
        <v>17006.63</v>
      </c>
      <c r="V23" s="284">
        <v>110.25</v>
      </c>
      <c r="W23" s="284">
        <v>9118.9500000000007</v>
      </c>
      <c r="X23" s="284">
        <v>8.07</v>
      </c>
      <c r="Y23" s="284">
        <v>5088.8500000000004</v>
      </c>
      <c r="Z23" s="284">
        <v>533.77</v>
      </c>
      <c r="AA23" s="284">
        <v>98.99</v>
      </c>
      <c r="AB23" s="284">
        <v>2047.75</v>
      </c>
      <c r="AC23" s="284"/>
      <c r="AD23" s="284"/>
      <c r="AE23" s="728">
        <f t="shared" si="3"/>
        <v>-5151.8300000000017</v>
      </c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</row>
    <row r="24" spans="1:47" ht="15" customHeight="1" x14ac:dyDescent="0.3">
      <c r="A24" s="15">
        <v>17</v>
      </c>
      <c r="B24" s="209">
        <v>42461</v>
      </c>
      <c r="C24" s="36" t="s">
        <v>96</v>
      </c>
      <c r="D24" s="285">
        <v>1958</v>
      </c>
      <c r="E24" s="285">
        <v>1</v>
      </c>
      <c r="F24" s="285">
        <v>3</v>
      </c>
      <c r="G24" s="239">
        <v>10</v>
      </c>
      <c r="H24" s="286">
        <v>141.19999999999999</v>
      </c>
      <c r="I24" s="286"/>
      <c r="J24" s="286"/>
      <c r="K24" s="286"/>
      <c r="L24" s="286"/>
      <c r="M24" s="286"/>
      <c r="N24" s="286"/>
      <c r="O24" s="286"/>
      <c r="P24" s="286"/>
      <c r="Q24" s="717">
        <v>11507.82</v>
      </c>
      <c r="R24" s="717">
        <v>11735.3</v>
      </c>
      <c r="S24" s="284">
        <f t="shared" si="0"/>
        <v>11507.82</v>
      </c>
      <c r="T24" s="284">
        <f t="shared" si="1"/>
        <v>11735.3</v>
      </c>
      <c r="U24" s="740">
        <f t="shared" si="2"/>
        <v>15532.640000000001</v>
      </c>
      <c r="V24" s="284">
        <v>100.69</v>
      </c>
      <c r="W24" s="284">
        <v>8328.56</v>
      </c>
      <c r="X24" s="284">
        <v>7.37</v>
      </c>
      <c r="Y24" s="284">
        <v>4647.7700000000004</v>
      </c>
      <c r="Z24" s="284">
        <v>487.52</v>
      </c>
      <c r="AA24" s="284">
        <v>90.41</v>
      </c>
      <c r="AB24" s="284">
        <v>1870.32</v>
      </c>
      <c r="AC24" s="284"/>
      <c r="AD24" s="284"/>
      <c r="AE24" s="728">
        <f t="shared" si="3"/>
        <v>-4024.8200000000015</v>
      </c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</row>
    <row r="25" spans="1:47" ht="15" customHeight="1" x14ac:dyDescent="0.3">
      <c r="A25" s="15">
        <v>19</v>
      </c>
      <c r="B25" s="209">
        <v>42401</v>
      </c>
      <c r="C25" s="36" t="s">
        <v>97</v>
      </c>
      <c r="D25" s="285">
        <v>1959</v>
      </c>
      <c r="E25" s="285">
        <v>1</v>
      </c>
      <c r="F25" s="285">
        <v>3</v>
      </c>
      <c r="G25" s="239">
        <v>7</v>
      </c>
      <c r="H25" s="286">
        <v>136.30000000000001</v>
      </c>
      <c r="I25" s="286"/>
      <c r="J25" s="286"/>
      <c r="K25" s="286"/>
      <c r="L25" s="286"/>
      <c r="M25" s="286"/>
      <c r="N25" s="286"/>
      <c r="O25" s="286"/>
      <c r="P25" s="286"/>
      <c r="Q25" s="717">
        <v>10098.040000000001</v>
      </c>
      <c r="R25" s="717">
        <v>45717.78</v>
      </c>
      <c r="S25" s="284">
        <f t="shared" si="0"/>
        <v>10098.040000000001</v>
      </c>
      <c r="T25" s="284">
        <f t="shared" si="1"/>
        <v>45717.78</v>
      </c>
      <c r="U25" s="740">
        <f t="shared" si="2"/>
        <v>14216.659999999998</v>
      </c>
      <c r="V25" s="284">
        <v>97.2</v>
      </c>
      <c r="W25" s="284">
        <v>8039.56</v>
      </c>
      <c r="X25" s="284">
        <v>7.11</v>
      </c>
      <c r="Y25" s="284">
        <v>4486.4799999999996</v>
      </c>
      <c r="Z25" s="284">
        <v>470.57</v>
      </c>
      <c r="AA25" s="284">
        <v>87.27</v>
      </c>
      <c r="AB25" s="284">
        <v>1028.47</v>
      </c>
      <c r="AC25" s="284"/>
      <c r="AD25" s="284"/>
      <c r="AE25" s="728">
        <f t="shared" si="3"/>
        <v>-4118.6199999999972</v>
      </c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</row>
    <row r="26" spans="1:47" ht="15" customHeight="1" x14ac:dyDescent="0.3">
      <c r="A26" s="15">
        <v>18</v>
      </c>
      <c r="B26" s="208">
        <v>42569</v>
      </c>
      <c r="C26" s="115" t="s">
        <v>98</v>
      </c>
      <c r="D26" s="309">
        <v>1958</v>
      </c>
      <c r="E26" s="309">
        <v>1</v>
      </c>
      <c r="F26" s="309">
        <v>3</v>
      </c>
      <c r="G26" s="288">
        <v>9</v>
      </c>
      <c r="H26" s="310">
        <v>119.5</v>
      </c>
      <c r="I26" s="310"/>
      <c r="J26" s="310"/>
      <c r="K26" s="310"/>
      <c r="L26" s="310"/>
      <c r="M26" s="310"/>
      <c r="N26" s="310"/>
      <c r="O26" s="310"/>
      <c r="P26" s="310"/>
      <c r="Q26" s="718">
        <v>16376.84</v>
      </c>
      <c r="R26" s="718">
        <v>-24217.45</v>
      </c>
      <c r="S26" s="284">
        <f t="shared" si="0"/>
        <v>16376.84</v>
      </c>
      <c r="T26" s="284">
        <f t="shared" si="1"/>
        <v>-24217.45</v>
      </c>
      <c r="U26" s="740">
        <f t="shared" si="2"/>
        <v>16797.68</v>
      </c>
      <c r="V26" s="284">
        <v>108.89</v>
      </c>
      <c r="W26" s="311">
        <v>9006.8799999999992</v>
      </c>
      <c r="X26" s="284">
        <v>7.97</v>
      </c>
      <c r="Y26" s="284">
        <v>5026.3100000000004</v>
      </c>
      <c r="Z26" s="284">
        <v>527.20000000000005</v>
      </c>
      <c r="AA26" s="284">
        <v>97.78</v>
      </c>
      <c r="AB26" s="284">
        <v>2022.65</v>
      </c>
      <c r="AC26" s="284"/>
      <c r="AD26" s="284"/>
      <c r="AE26" s="728">
        <f t="shared" si="3"/>
        <v>-420.84000000000015</v>
      </c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</row>
    <row r="27" spans="1:47" ht="15" customHeight="1" x14ac:dyDescent="0.3">
      <c r="A27" s="18"/>
      <c r="B27" s="18"/>
      <c r="C27" s="722" t="s">
        <v>12</v>
      </c>
      <c r="D27" s="312"/>
      <c r="E27" s="312"/>
      <c r="F27" s="623">
        <f t="shared" ref="F27:AE27" si="4">SUM(F8:F26)</f>
        <v>134</v>
      </c>
      <c r="G27" s="623">
        <f t="shared" si="4"/>
        <v>340</v>
      </c>
      <c r="H27" s="624">
        <f t="shared" si="4"/>
        <v>6252.0000000000009</v>
      </c>
      <c r="I27" s="624">
        <f t="shared" si="4"/>
        <v>169.92</v>
      </c>
      <c r="J27" s="624">
        <f t="shared" si="4"/>
        <v>362.46999999999997</v>
      </c>
      <c r="K27" s="624">
        <f t="shared" si="4"/>
        <v>5593.44</v>
      </c>
      <c r="L27" s="624">
        <f t="shared" si="4"/>
        <v>4808.3999999999996</v>
      </c>
      <c r="M27" s="600">
        <f t="shared" si="4"/>
        <v>0</v>
      </c>
      <c r="N27" s="600">
        <f t="shared" si="4"/>
        <v>354.89</v>
      </c>
      <c r="O27" s="600">
        <f t="shared" si="4"/>
        <v>6342.6100000000006</v>
      </c>
      <c r="P27" s="600">
        <f t="shared" si="4"/>
        <v>5565.72</v>
      </c>
      <c r="Q27" s="625">
        <f t="shared" si="4"/>
        <v>850892.22</v>
      </c>
      <c r="R27" s="625">
        <f t="shared" si="4"/>
        <v>722728.59000000008</v>
      </c>
      <c r="S27" s="233">
        <f t="shared" si="4"/>
        <v>862998.19000000006</v>
      </c>
      <c r="T27" s="233">
        <f t="shared" si="4"/>
        <v>733820.07000000007</v>
      </c>
      <c r="U27" s="233">
        <f t="shared" si="4"/>
        <v>821272.41000000015</v>
      </c>
      <c r="V27" s="233">
        <f t="shared" si="4"/>
        <v>4482.5099999999993</v>
      </c>
      <c r="W27" s="233">
        <f t="shared" si="4"/>
        <v>448394.79</v>
      </c>
      <c r="X27" s="233">
        <f t="shared" si="4"/>
        <v>2627.2700000000004</v>
      </c>
      <c r="Y27" s="233">
        <f t="shared" si="4"/>
        <v>206911.66</v>
      </c>
      <c r="Z27" s="233">
        <f t="shared" si="4"/>
        <v>21702.7</v>
      </c>
      <c r="AA27" s="233">
        <f t="shared" si="4"/>
        <v>4025</v>
      </c>
      <c r="AB27" s="233">
        <f t="shared" si="4"/>
        <v>111728.42</v>
      </c>
      <c r="AC27" s="233">
        <f t="shared" si="4"/>
        <v>20452.68</v>
      </c>
      <c r="AD27" s="233">
        <f t="shared" si="4"/>
        <v>947.38</v>
      </c>
      <c r="AE27" s="233">
        <f t="shared" si="4"/>
        <v>41725.78</v>
      </c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</row>
    <row r="28" spans="1:47" ht="15" customHeight="1" x14ac:dyDescent="0.3">
      <c r="A28" s="150"/>
      <c r="B28" s="150"/>
      <c r="C28" s="9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315"/>
      <c r="W28" s="148"/>
      <c r="X28" s="148"/>
      <c r="Y28" s="289"/>
      <c r="Z28" s="148"/>
      <c r="AA28" s="148"/>
      <c r="AB28" s="148"/>
      <c r="AC28" s="290"/>
      <c r="AD28" s="148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</row>
    <row r="29" spans="1:47" ht="15" customHeight="1" x14ac:dyDescent="0.3">
      <c r="C29" s="131" t="s">
        <v>235</v>
      </c>
      <c r="D29" s="148"/>
      <c r="E29" s="148"/>
      <c r="F29" s="148"/>
      <c r="G29" s="148"/>
      <c r="H29" s="289">
        <f>H8+H9+H10+H11+H12+H13+H14+H15</f>
        <v>4820.0999999999995</v>
      </c>
      <c r="I29" s="289"/>
      <c r="J29" s="289"/>
      <c r="K29" s="289"/>
      <c r="L29" s="289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</row>
    <row r="30" spans="1:47" ht="18.75" x14ac:dyDescent="0.3"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95"/>
      <c r="V30" s="148"/>
      <c r="W30" s="148"/>
      <c r="X30" s="148"/>
      <c r="Y30" s="148"/>
      <c r="Z30" s="148"/>
      <c r="AA30" s="148"/>
      <c r="AB30" s="148"/>
      <c r="AC30" s="148"/>
      <c r="AD30" s="148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</row>
    <row r="31" spans="1:47" ht="18.75" customHeight="1" x14ac:dyDescent="0.3"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V31" s="95"/>
      <c r="W31" s="95"/>
      <c r="X31" s="316"/>
      <c r="Y31" s="316"/>
      <c r="Z31" s="316"/>
      <c r="AA31" s="316"/>
      <c r="AB31" s="316"/>
      <c r="AC31" s="316"/>
      <c r="AD31" s="148"/>
    </row>
    <row r="32" spans="1:47" ht="15.75" customHeight="1" x14ac:dyDescent="0.25"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</row>
    <row r="33" spans="1:32" ht="15" customHeight="1" x14ac:dyDescent="0.25">
      <c r="D33" s="148"/>
      <c r="E33" s="148"/>
      <c r="F33" s="148"/>
      <c r="G33" s="148"/>
      <c r="H33" s="148"/>
      <c r="I33" s="148"/>
      <c r="J33" s="148"/>
      <c r="K33" s="148"/>
      <c r="L33" s="148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</row>
    <row r="34" spans="1:32" ht="39.75" customHeight="1" x14ac:dyDescent="0.25">
      <c r="A34" s="923" t="s">
        <v>0</v>
      </c>
      <c r="B34" s="905"/>
      <c r="C34" s="923" t="s">
        <v>130</v>
      </c>
      <c r="D34" s="928" t="s">
        <v>43</v>
      </c>
      <c r="E34" s="888" t="s">
        <v>44</v>
      </c>
      <c r="F34" s="928" t="s">
        <v>45</v>
      </c>
      <c r="G34" s="928" t="s">
        <v>46</v>
      </c>
      <c r="H34" s="888" t="s">
        <v>1</v>
      </c>
      <c r="I34" s="626"/>
      <c r="J34" s="626"/>
      <c r="K34" s="626"/>
      <c r="L34" s="626"/>
      <c r="M34" s="627"/>
      <c r="N34" s="627"/>
      <c r="O34" s="627"/>
      <c r="P34" s="627"/>
      <c r="Q34" s="935"/>
      <c r="R34" s="936"/>
      <c r="S34" s="937" t="s">
        <v>444</v>
      </c>
      <c r="T34" s="938"/>
      <c r="U34" s="939" t="s">
        <v>232</v>
      </c>
      <c r="V34" s="929" t="s">
        <v>200</v>
      </c>
      <c r="W34" s="929" t="s">
        <v>446</v>
      </c>
      <c r="X34" s="870" t="s">
        <v>447</v>
      </c>
      <c r="Y34" s="929" t="s">
        <v>448</v>
      </c>
      <c r="Z34" s="929" t="s">
        <v>441</v>
      </c>
      <c r="AA34" s="872" t="s">
        <v>367</v>
      </c>
      <c r="AB34" s="149"/>
      <c r="AC34" s="149"/>
      <c r="AD34" s="149"/>
      <c r="AE34" s="149"/>
      <c r="AF34" s="149"/>
    </row>
    <row r="35" spans="1:32" ht="30" customHeight="1" x14ac:dyDescent="0.25">
      <c r="A35" s="923"/>
      <c r="B35" s="906"/>
      <c r="C35" s="923"/>
      <c r="D35" s="928"/>
      <c r="E35" s="889"/>
      <c r="F35" s="928"/>
      <c r="G35" s="928"/>
      <c r="H35" s="889"/>
      <c r="I35" s="626"/>
      <c r="J35" s="626"/>
      <c r="K35" s="626"/>
      <c r="L35" s="626"/>
      <c r="M35" s="627"/>
      <c r="N35" s="627"/>
      <c r="O35" s="627"/>
      <c r="P35" s="627"/>
      <c r="Q35" s="303"/>
      <c r="R35" s="304"/>
      <c r="S35" s="538" t="s">
        <v>4</v>
      </c>
      <c r="T35" s="539" t="s">
        <v>5</v>
      </c>
      <c r="U35" s="940"/>
      <c r="V35" s="930"/>
      <c r="W35" s="930"/>
      <c r="X35" s="871"/>
      <c r="Y35" s="930"/>
      <c r="Z35" s="930"/>
      <c r="AA35" s="872"/>
      <c r="AB35" s="149"/>
      <c r="AC35" s="149"/>
      <c r="AD35" s="149"/>
      <c r="AE35" s="149"/>
      <c r="AF35" s="149"/>
    </row>
    <row r="36" spans="1:32" ht="15" customHeight="1" x14ac:dyDescent="0.25">
      <c r="A36" s="509">
        <v>1</v>
      </c>
      <c r="B36" s="208">
        <v>42569</v>
      </c>
      <c r="C36" s="42" t="s">
        <v>80</v>
      </c>
      <c r="D36" s="270">
        <v>1965</v>
      </c>
      <c r="E36" s="270">
        <v>2</v>
      </c>
      <c r="F36" s="270">
        <v>16</v>
      </c>
      <c r="G36" s="142">
        <v>35</v>
      </c>
      <c r="H36" s="287">
        <v>653.4</v>
      </c>
      <c r="I36" s="283"/>
      <c r="J36" s="283"/>
      <c r="K36" s="283"/>
      <c r="L36" s="283"/>
      <c r="M36" s="627"/>
      <c r="N36" s="627"/>
      <c r="O36" s="627"/>
      <c r="P36" s="627"/>
      <c r="Q36" s="719"/>
      <c r="R36" s="719"/>
      <c r="S36" s="723">
        <v>31401.599999999999</v>
      </c>
      <c r="T36" s="723">
        <v>24596.04</v>
      </c>
      <c r="U36" s="741">
        <f>V36+W36+X36+Y36+Z36</f>
        <v>0</v>
      </c>
      <c r="V36" s="730"/>
      <c r="W36" s="730"/>
      <c r="X36" s="730"/>
      <c r="Y36" s="730"/>
      <c r="Z36" s="730"/>
      <c r="AA36" s="731">
        <v>31401.599999999999</v>
      </c>
      <c r="AB36" s="149"/>
      <c r="AC36" s="149"/>
      <c r="AD36" s="149"/>
      <c r="AE36" s="149"/>
      <c r="AF36" s="149"/>
    </row>
    <row r="37" spans="1:32" ht="15" customHeight="1" x14ac:dyDescent="0.25">
      <c r="A37" s="15">
        <v>2</v>
      </c>
      <c r="B37" s="208">
        <v>42569</v>
      </c>
      <c r="C37" s="36" t="s">
        <v>81</v>
      </c>
      <c r="D37" s="285">
        <v>1965</v>
      </c>
      <c r="E37" s="285">
        <v>2</v>
      </c>
      <c r="F37" s="285">
        <v>16</v>
      </c>
      <c r="G37" s="276">
        <v>31</v>
      </c>
      <c r="H37" s="341">
        <v>658.2</v>
      </c>
      <c r="I37" s="318"/>
      <c r="J37" s="318"/>
      <c r="K37" s="318"/>
      <c r="L37" s="318"/>
      <c r="M37" s="627"/>
      <c r="N37" s="627"/>
      <c r="O37" s="627"/>
      <c r="P37" s="627"/>
      <c r="Q37" s="719"/>
      <c r="R37" s="719"/>
      <c r="S37" s="723">
        <v>18429.599999999999</v>
      </c>
      <c r="T37" s="723">
        <v>16309.52</v>
      </c>
      <c r="U37" s="741">
        <f t="shared" ref="U37:U54" si="5">V37+W37+X37+Y37+Z37</f>
        <v>0</v>
      </c>
      <c r="V37" s="629"/>
      <c r="W37" s="627"/>
      <c r="X37" s="729"/>
      <c r="Y37" s="729"/>
      <c r="Z37" s="729"/>
      <c r="AA37" s="731">
        <v>18429.599999999999</v>
      </c>
      <c r="AB37" s="149"/>
      <c r="AC37" s="149"/>
      <c r="AD37" s="149"/>
      <c r="AE37" s="149"/>
      <c r="AF37" s="149"/>
    </row>
    <row r="38" spans="1:32" ht="15" customHeight="1" x14ac:dyDescent="0.25">
      <c r="A38" s="15">
        <v>3</v>
      </c>
      <c r="B38" s="208">
        <v>42569</v>
      </c>
      <c r="C38" s="36" t="s">
        <v>82</v>
      </c>
      <c r="D38" s="285">
        <v>1965</v>
      </c>
      <c r="E38" s="285">
        <v>2</v>
      </c>
      <c r="F38" s="285">
        <v>16</v>
      </c>
      <c r="G38" s="142">
        <v>36</v>
      </c>
      <c r="H38" s="341">
        <v>663.6</v>
      </c>
      <c r="I38" s="318"/>
      <c r="J38" s="318"/>
      <c r="K38" s="318"/>
      <c r="L38" s="318"/>
      <c r="M38" s="627"/>
      <c r="N38" s="627"/>
      <c r="O38" s="627"/>
      <c r="P38" s="627"/>
      <c r="Q38" s="719"/>
      <c r="R38" s="719"/>
      <c r="S38" s="723">
        <v>31852.799999999999</v>
      </c>
      <c r="T38" s="723">
        <v>25424.35</v>
      </c>
      <c r="U38" s="741">
        <f t="shared" si="5"/>
        <v>13480.449999999999</v>
      </c>
      <c r="V38" s="629">
        <f>3591.24+1040</f>
        <v>4631.24</v>
      </c>
      <c r="W38" s="629">
        <v>8849.2099999999991</v>
      </c>
      <c r="X38" s="730"/>
      <c r="Y38" s="730"/>
      <c r="Z38" s="730"/>
      <c r="AA38" s="731">
        <f>S38-U38</f>
        <v>18372.349999999999</v>
      </c>
      <c r="AB38" s="149"/>
      <c r="AC38" s="149"/>
      <c r="AD38" s="149"/>
      <c r="AE38" s="149"/>
      <c r="AF38" s="149"/>
    </row>
    <row r="39" spans="1:32" ht="15" customHeight="1" x14ac:dyDescent="0.25">
      <c r="A39" s="15">
        <v>4</v>
      </c>
      <c r="B39" s="208">
        <v>42569</v>
      </c>
      <c r="C39" s="36" t="s">
        <v>83</v>
      </c>
      <c r="D39" s="285">
        <v>1965</v>
      </c>
      <c r="E39" s="285">
        <v>2</v>
      </c>
      <c r="F39" s="285">
        <v>16</v>
      </c>
      <c r="G39" s="276">
        <v>39</v>
      </c>
      <c r="H39" s="341">
        <v>654.70000000000005</v>
      </c>
      <c r="I39" s="318"/>
      <c r="J39" s="318"/>
      <c r="K39" s="318"/>
      <c r="L39" s="318"/>
      <c r="M39" s="627"/>
      <c r="N39" s="627"/>
      <c r="O39" s="627"/>
      <c r="P39" s="627"/>
      <c r="Q39" s="719"/>
      <c r="R39" s="719"/>
      <c r="S39" s="723">
        <v>31425.599999999999</v>
      </c>
      <c r="T39" s="723">
        <v>31015.7</v>
      </c>
      <c r="U39" s="741">
        <f t="shared" si="5"/>
        <v>11489.310000000001</v>
      </c>
      <c r="V39" s="629">
        <f>1817.88+521</f>
        <v>2338.88</v>
      </c>
      <c r="W39" s="629">
        <v>8880.43</v>
      </c>
      <c r="X39" s="730">
        <v>270</v>
      </c>
      <c r="Y39" s="730"/>
      <c r="Z39" s="730"/>
      <c r="AA39" s="731">
        <f t="shared" ref="AA39:AA54" si="6">S39-U39</f>
        <v>19936.289999999997</v>
      </c>
      <c r="AB39" s="149"/>
      <c r="AC39" s="149"/>
      <c r="AD39" s="149"/>
      <c r="AE39" s="149"/>
      <c r="AF39" s="149"/>
    </row>
    <row r="40" spans="1:32" ht="15" customHeight="1" x14ac:dyDescent="0.25">
      <c r="A40" s="15">
        <v>5</v>
      </c>
      <c r="B40" s="208">
        <v>42569</v>
      </c>
      <c r="C40" s="36" t="s">
        <v>84</v>
      </c>
      <c r="D40" s="285">
        <v>1995</v>
      </c>
      <c r="E40" s="285">
        <v>2</v>
      </c>
      <c r="F40" s="285">
        <v>8</v>
      </c>
      <c r="G40" s="142">
        <v>23</v>
      </c>
      <c r="H40" s="341">
        <v>548.70000000000005</v>
      </c>
      <c r="I40" s="318"/>
      <c r="J40" s="318"/>
      <c r="K40" s="318"/>
      <c r="L40" s="318"/>
      <c r="M40" s="627"/>
      <c r="N40" s="627"/>
      <c r="O40" s="627"/>
      <c r="P40" s="627"/>
      <c r="Q40" s="719"/>
      <c r="R40" s="719"/>
      <c r="S40" s="723">
        <v>26337.599999999999</v>
      </c>
      <c r="T40" s="723">
        <v>26971.93</v>
      </c>
      <c r="U40" s="741">
        <f t="shared" si="5"/>
        <v>5736.5300000000007</v>
      </c>
      <c r="V40" s="629">
        <v>703.65</v>
      </c>
      <c r="W40" s="629"/>
      <c r="X40" s="629"/>
      <c r="Y40" s="629">
        <v>2237.88</v>
      </c>
      <c r="Z40" s="730">
        <v>2795</v>
      </c>
      <c r="AA40" s="731">
        <f t="shared" si="6"/>
        <v>20601.07</v>
      </c>
      <c r="AB40" s="149"/>
      <c r="AC40" s="149"/>
      <c r="AD40" s="149"/>
      <c r="AE40" s="149"/>
      <c r="AF40" s="149"/>
    </row>
    <row r="41" spans="1:32" ht="15" customHeight="1" x14ac:dyDescent="0.25">
      <c r="A41" s="15">
        <v>6</v>
      </c>
      <c r="B41" s="208">
        <v>42569</v>
      </c>
      <c r="C41" s="36" t="s">
        <v>85</v>
      </c>
      <c r="D41" s="285">
        <v>1995</v>
      </c>
      <c r="E41" s="285">
        <v>2</v>
      </c>
      <c r="F41" s="285">
        <v>8</v>
      </c>
      <c r="G41" s="276">
        <v>27</v>
      </c>
      <c r="H41" s="341">
        <v>548.6</v>
      </c>
      <c r="I41" s="318"/>
      <c r="J41" s="318"/>
      <c r="K41" s="318"/>
      <c r="L41" s="318"/>
      <c r="M41" s="627"/>
      <c r="N41" s="627"/>
      <c r="O41" s="627"/>
      <c r="P41" s="627"/>
      <c r="Q41" s="719"/>
      <c r="R41" s="719"/>
      <c r="S41" s="723">
        <v>26332.799999999999</v>
      </c>
      <c r="T41" s="723">
        <v>26732.58</v>
      </c>
      <c r="U41" s="741">
        <f t="shared" si="5"/>
        <v>0</v>
      </c>
      <c r="V41" s="629"/>
      <c r="W41" s="627"/>
      <c r="X41" s="729"/>
      <c r="Y41" s="729"/>
      <c r="Z41" s="729"/>
      <c r="AA41" s="731">
        <f t="shared" si="6"/>
        <v>26332.799999999999</v>
      </c>
      <c r="AB41" s="149"/>
      <c r="AC41" s="149"/>
      <c r="AD41" s="149"/>
      <c r="AE41" s="149"/>
      <c r="AF41" s="149"/>
    </row>
    <row r="42" spans="1:32" ht="15" customHeight="1" x14ac:dyDescent="0.25">
      <c r="A42" s="15">
        <v>7</v>
      </c>
      <c r="B42" s="208">
        <v>42569</v>
      </c>
      <c r="C42" s="36" t="s">
        <v>86</v>
      </c>
      <c r="D42" s="285">
        <v>1995</v>
      </c>
      <c r="E42" s="285">
        <v>2</v>
      </c>
      <c r="F42" s="285">
        <v>8</v>
      </c>
      <c r="G42" s="142">
        <v>30</v>
      </c>
      <c r="H42" s="341">
        <v>544.20000000000005</v>
      </c>
      <c r="I42" s="318"/>
      <c r="J42" s="318"/>
      <c r="K42" s="318"/>
      <c r="L42" s="318"/>
      <c r="M42" s="627"/>
      <c r="N42" s="627"/>
      <c r="O42" s="627"/>
      <c r="P42" s="627"/>
      <c r="Q42" s="719"/>
      <c r="R42" s="719"/>
      <c r="S42" s="723">
        <v>26121.599999999999</v>
      </c>
      <c r="T42" s="723">
        <v>14308.52</v>
      </c>
      <c r="U42" s="741">
        <f t="shared" si="5"/>
        <v>0</v>
      </c>
      <c r="V42" s="629"/>
      <c r="W42" s="627"/>
      <c r="X42" s="729"/>
      <c r="Y42" s="729"/>
      <c r="Z42" s="729"/>
      <c r="AA42" s="731">
        <f t="shared" si="6"/>
        <v>26121.599999999999</v>
      </c>
      <c r="AB42" s="149"/>
      <c r="AC42" s="149"/>
      <c r="AD42" s="149"/>
      <c r="AE42" s="149"/>
      <c r="AF42" s="149"/>
    </row>
    <row r="43" spans="1:32" ht="15" customHeight="1" x14ac:dyDescent="0.25">
      <c r="A43" s="15">
        <v>8</v>
      </c>
      <c r="B43" s="208">
        <v>42569</v>
      </c>
      <c r="C43" s="36" t="s">
        <v>87</v>
      </c>
      <c r="D43" s="285">
        <v>1995</v>
      </c>
      <c r="E43" s="285">
        <v>2</v>
      </c>
      <c r="F43" s="285">
        <v>8</v>
      </c>
      <c r="G43" s="276">
        <v>29</v>
      </c>
      <c r="H43" s="341">
        <v>548.70000000000005</v>
      </c>
      <c r="I43" s="318"/>
      <c r="J43" s="318"/>
      <c r="K43" s="318"/>
      <c r="L43" s="318"/>
      <c r="M43" s="627"/>
      <c r="N43" s="627"/>
      <c r="O43" s="627"/>
      <c r="P43" s="627"/>
      <c r="Q43" s="719"/>
      <c r="R43" s="719"/>
      <c r="S43" s="723">
        <v>26337.599999999999</v>
      </c>
      <c r="T43" s="723">
        <v>24710.23</v>
      </c>
      <c r="U43" s="741">
        <f t="shared" si="5"/>
        <v>0</v>
      </c>
      <c r="V43" s="629"/>
      <c r="W43" s="627"/>
      <c r="X43" s="729"/>
      <c r="Y43" s="729"/>
      <c r="Z43" s="729"/>
      <c r="AA43" s="731">
        <f t="shared" si="6"/>
        <v>26337.599999999999</v>
      </c>
      <c r="AB43" s="149"/>
      <c r="AC43" s="149"/>
      <c r="AD43" s="149"/>
      <c r="AE43" s="149"/>
      <c r="AF43" s="149"/>
    </row>
    <row r="44" spans="1:32" ht="15" customHeight="1" x14ac:dyDescent="0.25">
      <c r="A44" s="15">
        <v>9</v>
      </c>
      <c r="B44" s="208">
        <v>42569</v>
      </c>
      <c r="C44" s="36" t="s">
        <v>88</v>
      </c>
      <c r="D44" s="285">
        <v>1958</v>
      </c>
      <c r="E44" s="285">
        <v>1</v>
      </c>
      <c r="F44" s="285">
        <v>3</v>
      </c>
      <c r="G44" s="142">
        <v>7</v>
      </c>
      <c r="H44" s="286">
        <v>111.3</v>
      </c>
      <c r="I44" s="314"/>
      <c r="J44" s="314"/>
      <c r="K44" s="314"/>
      <c r="L44" s="314"/>
      <c r="M44" s="627"/>
      <c r="N44" s="627"/>
      <c r="O44" s="627"/>
      <c r="P44" s="627"/>
      <c r="Q44" s="719"/>
      <c r="R44" s="719"/>
      <c r="S44" s="723"/>
      <c r="T44" s="723"/>
      <c r="U44" s="741">
        <f t="shared" si="5"/>
        <v>0</v>
      </c>
      <c r="V44" s="629"/>
      <c r="W44" s="627"/>
      <c r="X44" s="729"/>
      <c r="Y44" s="729"/>
      <c r="Z44" s="729"/>
      <c r="AA44" s="731">
        <f t="shared" si="6"/>
        <v>0</v>
      </c>
      <c r="AB44" s="149"/>
      <c r="AC44" s="149"/>
      <c r="AD44" s="149"/>
      <c r="AE44" s="149"/>
      <c r="AF44" s="149"/>
    </row>
    <row r="45" spans="1:32" ht="15" customHeight="1" x14ac:dyDescent="0.25">
      <c r="A45" s="15">
        <v>10</v>
      </c>
      <c r="B45" s="209">
        <v>42401</v>
      </c>
      <c r="C45" s="36" t="s">
        <v>89</v>
      </c>
      <c r="D45" s="285">
        <v>1958</v>
      </c>
      <c r="E45" s="285">
        <v>1</v>
      </c>
      <c r="F45" s="285">
        <v>3</v>
      </c>
      <c r="G45" s="276">
        <v>10</v>
      </c>
      <c r="H45" s="286">
        <v>118</v>
      </c>
      <c r="I45" s="239"/>
      <c r="J45" s="239"/>
      <c r="K45" s="239"/>
      <c r="L45" s="239"/>
      <c r="M45" s="627"/>
      <c r="N45" s="627"/>
      <c r="O45" s="627"/>
      <c r="P45" s="627"/>
      <c r="Q45" s="719"/>
      <c r="R45" s="719"/>
      <c r="S45" s="723"/>
      <c r="T45" s="723"/>
      <c r="U45" s="741">
        <f t="shared" si="5"/>
        <v>0</v>
      </c>
      <c r="V45" s="629"/>
      <c r="W45" s="627"/>
      <c r="X45" s="729"/>
      <c r="Y45" s="729"/>
      <c r="Z45" s="729"/>
      <c r="AA45" s="731">
        <f t="shared" si="6"/>
        <v>0</v>
      </c>
      <c r="AB45" s="149"/>
      <c r="AC45" s="149"/>
      <c r="AD45" s="149"/>
      <c r="AE45" s="149"/>
      <c r="AF45" s="149"/>
    </row>
    <row r="46" spans="1:32" ht="15" customHeight="1" x14ac:dyDescent="0.25">
      <c r="A46" s="15">
        <v>11</v>
      </c>
      <c r="B46" s="208">
        <v>42569</v>
      </c>
      <c r="C46" s="36" t="s">
        <v>90</v>
      </c>
      <c r="D46" s="285">
        <v>1958</v>
      </c>
      <c r="E46" s="285">
        <v>1</v>
      </c>
      <c r="F46" s="285">
        <v>4</v>
      </c>
      <c r="G46" s="142">
        <v>4</v>
      </c>
      <c r="H46" s="286">
        <v>115.8</v>
      </c>
      <c r="I46" s="239"/>
      <c r="J46" s="239"/>
      <c r="K46" s="239"/>
      <c r="L46" s="239"/>
      <c r="M46" s="627"/>
      <c r="N46" s="627"/>
      <c r="O46" s="627"/>
      <c r="P46" s="627"/>
      <c r="Q46" s="719"/>
      <c r="R46" s="719"/>
      <c r="S46" s="723"/>
      <c r="T46" s="723"/>
      <c r="U46" s="741">
        <f t="shared" si="5"/>
        <v>0</v>
      </c>
      <c r="V46" s="629"/>
      <c r="W46" s="627"/>
      <c r="X46" s="729"/>
      <c r="Y46" s="729"/>
      <c r="Z46" s="729"/>
      <c r="AA46" s="731">
        <f t="shared" si="6"/>
        <v>0</v>
      </c>
      <c r="AB46" s="149"/>
      <c r="AC46" s="149"/>
      <c r="AD46" s="149"/>
      <c r="AE46" s="149"/>
      <c r="AF46" s="149"/>
    </row>
    <row r="47" spans="1:32" ht="15" customHeight="1" x14ac:dyDescent="0.25">
      <c r="A47" s="15">
        <v>12</v>
      </c>
      <c r="B47" s="209">
        <v>42401</v>
      </c>
      <c r="C47" s="36" t="s">
        <v>91</v>
      </c>
      <c r="D47" s="285">
        <v>1958</v>
      </c>
      <c r="E47" s="285">
        <v>1</v>
      </c>
      <c r="F47" s="285">
        <v>4</v>
      </c>
      <c r="G47" s="276">
        <v>9</v>
      </c>
      <c r="H47" s="286">
        <v>162.1</v>
      </c>
      <c r="I47" s="239"/>
      <c r="J47" s="239"/>
      <c r="K47" s="239"/>
      <c r="L47" s="239"/>
      <c r="M47" s="627"/>
      <c r="N47" s="627"/>
      <c r="O47" s="627"/>
      <c r="P47" s="627"/>
      <c r="Q47" s="719"/>
      <c r="R47" s="719"/>
      <c r="S47" s="723"/>
      <c r="T47" s="723"/>
      <c r="U47" s="741">
        <f t="shared" si="5"/>
        <v>0</v>
      </c>
      <c r="V47" s="629"/>
      <c r="W47" s="627"/>
      <c r="X47" s="729"/>
      <c r="Y47" s="729"/>
      <c r="Z47" s="729"/>
      <c r="AA47" s="731">
        <f t="shared" si="6"/>
        <v>0</v>
      </c>
      <c r="AB47" s="149"/>
      <c r="AC47" s="149"/>
      <c r="AD47" s="149"/>
      <c r="AE47" s="149"/>
      <c r="AF47" s="149"/>
    </row>
    <row r="48" spans="1:32" ht="15" customHeight="1" x14ac:dyDescent="0.25">
      <c r="A48" s="15">
        <v>13</v>
      </c>
      <c r="B48" s="209">
        <v>42461</v>
      </c>
      <c r="C48" s="36" t="s">
        <v>92</v>
      </c>
      <c r="D48" s="285">
        <v>1959</v>
      </c>
      <c r="E48" s="285">
        <v>1</v>
      </c>
      <c r="F48" s="285">
        <v>4</v>
      </c>
      <c r="G48" s="142">
        <v>8</v>
      </c>
      <c r="H48" s="286">
        <v>135.6</v>
      </c>
      <c r="I48" s="239"/>
      <c r="J48" s="239"/>
      <c r="K48" s="239"/>
      <c r="L48" s="239"/>
      <c r="M48" s="627"/>
      <c r="N48" s="627"/>
      <c r="O48" s="627"/>
      <c r="P48" s="627"/>
      <c r="Q48" s="719"/>
      <c r="R48" s="719"/>
      <c r="S48" s="723"/>
      <c r="T48" s="723"/>
      <c r="U48" s="741">
        <f t="shared" si="5"/>
        <v>0</v>
      </c>
      <c r="V48" s="629"/>
      <c r="W48" s="627"/>
      <c r="X48" s="729"/>
      <c r="Y48" s="729"/>
      <c r="Z48" s="729"/>
      <c r="AA48" s="731">
        <f t="shared" si="6"/>
        <v>0</v>
      </c>
      <c r="AB48" s="149"/>
      <c r="AC48" s="149"/>
      <c r="AD48" s="149"/>
      <c r="AE48" s="149"/>
      <c r="AF48" s="149"/>
    </row>
    <row r="49" spans="1:32" ht="15" customHeight="1" x14ac:dyDescent="0.25">
      <c r="A49" s="15">
        <v>14</v>
      </c>
      <c r="B49" s="208">
        <v>42569</v>
      </c>
      <c r="C49" s="36" t="s">
        <v>93</v>
      </c>
      <c r="D49" s="285">
        <v>1958</v>
      </c>
      <c r="E49" s="285">
        <v>1</v>
      </c>
      <c r="F49" s="285">
        <v>4</v>
      </c>
      <c r="G49" s="276">
        <v>12</v>
      </c>
      <c r="H49" s="286">
        <v>115.2</v>
      </c>
      <c r="I49" s="239"/>
      <c r="J49" s="239"/>
      <c r="K49" s="239"/>
      <c r="L49" s="239"/>
      <c r="M49" s="627"/>
      <c r="N49" s="627"/>
      <c r="O49" s="627"/>
      <c r="P49" s="627"/>
      <c r="Q49" s="719"/>
      <c r="R49" s="719"/>
      <c r="S49" s="723"/>
      <c r="T49" s="723"/>
      <c r="U49" s="741">
        <f t="shared" si="5"/>
        <v>0</v>
      </c>
      <c r="V49" s="629"/>
      <c r="W49" s="627"/>
      <c r="X49" s="729"/>
      <c r="Y49" s="729"/>
      <c r="Z49" s="729"/>
      <c r="AA49" s="731">
        <f t="shared" si="6"/>
        <v>0</v>
      </c>
      <c r="AB49" s="149"/>
      <c r="AC49" s="149"/>
      <c r="AD49" s="149"/>
      <c r="AE49" s="149"/>
      <c r="AF49" s="149"/>
    </row>
    <row r="50" spans="1:32" ht="15" customHeight="1" x14ac:dyDescent="0.25">
      <c r="A50" s="15">
        <v>15</v>
      </c>
      <c r="B50" s="209">
        <v>42401</v>
      </c>
      <c r="C50" s="36" t="s">
        <v>94</v>
      </c>
      <c r="D50" s="285">
        <v>1958</v>
      </c>
      <c r="E50" s="285">
        <v>1</v>
      </c>
      <c r="F50" s="285">
        <v>3</v>
      </c>
      <c r="G50" s="142">
        <v>7</v>
      </c>
      <c r="H50" s="286">
        <v>122.3</v>
      </c>
      <c r="I50" s="239"/>
      <c r="J50" s="239"/>
      <c r="K50" s="239"/>
      <c r="L50" s="239"/>
      <c r="M50" s="627"/>
      <c r="N50" s="627"/>
      <c r="O50" s="627"/>
      <c r="P50" s="627"/>
      <c r="Q50" s="719"/>
      <c r="R50" s="719"/>
      <c r="S50" s="723"/>
      <c r="T50" s="723"/>
      <c r="U50" s="741">
        <f t="shared" si="5"/>
        <v>0</v>
      </c>
      <c r="V50" s="629"/>
      <c r="W50" s="627"/>
      <c r="X50" s="729"/>
      <c r="Y50" s="729"/>
      <c r="Z50" s="729"/>
      <c r="AA50" s="731">
        <f t="shared" si="6"/>
        <v>0</v>
      </c>
      <c r="AB50" s="149"/>
      <c r="AC50" s="149"/>
      <c r="AD50" s="149"/>
      <c r="AE50" s="149"/>
      <c r="AF50" s="149"/>
    </row>
    <row r="51" spans="1:32" ht="15" customHeight="1" x14ac:dyDescent="0.25">
      <c r="A51" s="15">
        <v>16</v>
      </c>
      <c r="B51" s="209">
        <v>42401</v>
      </c>
      <c r="C51" s="36" t="s">
        <v>95</v>
      </c>
      <c r="D51" s="285">
        <v>1958</v>
      </c>
      <c r="E51" s="285">
        <v>1</v>
      </c>
      <c r="F51" s="285">
        <v>4</v>
      </c>
      <c r="G51" s="239">
        <v>7</v>
      </c>
      <c r="H51" s="286">
        <v>154.6</v>
      </c>
      <c r="I51" s="239"/>
      <c r="J51" s="239"/>
      <c r="K51" s="239"/>
      <c r="L51" s="239"/>
      <c r="M51" s="627"/>
      <c r="N51" s="627"/>
      <c r="O51" s="627"/>
      <c r="P51" s="627"/>
      <c r="Q51" s="719"/>
      <c r="R51" s="719"/>
      <c r="S51" s="723"/>
      <c r="T51" s="723"/>
      <c r="U51" s="741">
        <f t="shared" si="5"/>
        <v>0</v>
      </c>
      <c r="V51" s="629"/>
      <c r="W51" s="627"/>
      <c r="X51" s="729"/>
      <c r="Y51" s="729"/>
      <c r="Z51" s="729"/>
      <c r="AA51" s="731">
        <f t="shared" si="6"/>
        <v>0</v>
      </c>
      <c r="AB51" s="149"/>
      <c r="AC51" s="149"/>
      <c r="AD51" s="149"/>
      <c r="AE51" s="149"/>
      <c r="AF51" s="149"/>
    </row>
    <row r="52" spans="1:32" ht="15" customHeight="1" x14ac:dyDescent="0.25">
      <c r="A52" s="15">
        <v>17</v>
      </c>
      <c r="B52" s="209">
        <v>42461</v>
      </c>
      <c r="C52" s="36" t="s">
        <v>96</v>
      </c>
      <c r="D52" s="285">
        <v>1958</v>
      </c>
      <c r="E52" s="285">
        <v>1</v>
      </c>
      <c r="F52" s="285">
        <v>3</v>
      </c>
      <c r="G52" s="239">
        <v>10</v>
      </c>
      <c r="H52" s="286">
        <v>141.19999999999999</v>
      </c>
      <c r="I52" s="239"/>
      <c r="J52" s="239"/>
      <c r="K52" s="239"/>
      <c r="L52" s="239"/>
      <c r="M52" s="627"/>
      <c r="N52" s="627"/>
      <c r="O52" s="627"/>
      <c r="P52" s="627"/>
      <c r="Q52" s="719"/>
      <c r="R52" s="719"/>
      <c r="S52" s="723"/>
      <c r="T52" s="723"/>
      <c r="U52" s="741">
        <f t="shared" si="5"/>
        <v>0</v>
      </c>
      <c r="V52" s="629"/>
      <c r="W52" s="627"/>
      <c r="X52" s="729"/>
      <c r="Y52" s="729"/>
      <c r="Z52" s="729"/>
      <c r="AA52" s="731">
        <f t="shared" si="6"/>
        <v>0</v>
      </c>
      <c r="AB52" s="149"/>
      <c r="AC52" s="149"/>
      <c r="AD52" s="149"/>
      <c r="AE52" s="149"/>
      <c r="AF52" s="149"/>
    </row>
    <row r="53" spans="1:32" ht="15" customHeight="1" x14ac:dyDescent="0.25">
      <c r="A53" s="15">
        <v>19</v>
      </c>
      <c r="B53" s="209">
        <v>42401</v>
      </c>
      <c r="C53" s="36" t="s">
        <v>97</v>
      </c>
      <c r="D53" s="285">
        <v>1959</v>
      </c>
      <c r="E53" s="285">
        <v>1</v>
      </c>
      <c r="F53" s="285">
        <v>3</v>
      </c>
      <c r="G53" s="239">
        <v>7</v>
      </c>
      <c r="H53" s="286">
        <v>136.30000000000001</v>
      </c>
      <c r="I53" s="239"/>
      <c r="J53" s="239"/>
      <c r="K53" s="239"/>
      <c r="L53" s="239"/>
      <c r="M53" s="239"/>
      <c r="N53" s="239"/>
      <c r="O53" s="239"/>
      <c r="P53" s="239"/>
      <c r="Q53" s="720"/>
      <c r="R53" s="720"/>
      <c r="S53" s="724"/>
      <c r="T53" s="724"/>
      <c r="U53" s="741">
        <f t="shared" si="5"/>
        <v>0</v>
      </c>
      <c r="V53" s="628"/>
      <c r="W53" s="239"/>
      <c r="X53" s="284"/>
      <c r="Y53" s="284"/>
      <c r="Z53" s="284"/>
      <c r="AA53" s="731">
        <f t="shared" si="6"/>
        <v>0</v>
      </c>
      <c r="AB53" s="149"/>
      <c r="AC53" s="149"/>
      <c r="AD53" s="149"/>
      <c r="AE53" s="149"/>
      <c r="AF53" s="149"/>
    </row>
    <row r="54" spans="1:32" ht="15" customHeight="1" x14ac:dyDescent="0.25">
      <c r="A54" s="15">
        <v>18</v>
      </c>
      <c r="B54" s="208">
        <v>42569</v>
      </c>
      <c r="C54" s="115" t="s">
        <v>98</v>
      </c>
      <c r="D54" s="309">
        <v>1958</v>
      </c>
      <c r="E54" s="309">
        <v>1</v>
      </c>
      <c r="F54" s="309">
        <v>3</v>
      </c>
      <c r="G54" s="288">
        <v>9</v>
      </c>
      <c r="H54" s="310">
        <v>119.5</v>
      </c>
      <c r="I54" s="239"/>
      <c r="J54" s="239"/>
      <c r="K54" s="239"/>
      <c r="L54" s="239"/>
      <c r="M54" s="239"/>
      <c r="N54" s="239"/>
      <c r="O54" s="239"/>
      <c r="P54" s="239"/>
      <c r="Q54" s="720"/>
      <c r="R54" s="720"/>
      <c r="S54" s="724"/>
      <c r="T54" s="724"/>
      <c r="U54" s="741">
        <f t="shared" si="5"/>
        <v>0</v>
      </c>
      <c r="V54" s="628"/>
      <c r="W54" s="239"/>
      <c r="X54" s="284"/>
      <c r="Y54" s="284"/>
      <c r="Z54" s="284"/>
      <c r="AA54" s="731">
        <f t="shared" si="6"/>
        <v>0</v>
      </c>
      <c r="AB54" s="149"/>
      <c r="AC54" s="149"/>
      <c r="AD54" s="149"/>
      <c r="AE54" s="149"/>
      <c r="AF54" s="149"/>
    </row>
    <row r="55" spans="1:32" ht="15" customHeight="1" x14ac:dyDescent="0.25">
      <c r="A55" s="18"/>
      <c r="B55" s="18"/>
      <c r="C55" s="722" t="s">
        <v>12</v>
      </c>
      <c r="D55" s="312"/>
      <c r="E55" s="312"/>
      <c r="F55" s="623">
        <f>SUM(F36:F54)</f>
        <v>134</v>
      </c>
      <c r="G55" s="623">
        <f>SUM(G36:G54)</f>
        <v>340</v>
      </c>
      <c r="H55" s="624">
        <f>SUM(H36:H54)</f>
        <v>6252.0000000000009</v>
      </c>
      <c r="I55" s="239"/>
      <c r="J55" s="239"/>
      <c r="K55" s="239"/>
      <c r="L55" s="239"/>
      <c r="M55" s="239"/>
      <c r="N55" s="239"/>
      <c r="O55" s="239"/>
      <c r="P55" s="239"/>
      <c r="Q55" s="720"/>
      <c r="R55" s="720"/>
      <c r="S55" s="721">
        <f>SUM(S36:S54)</f>
        <v>218239.2</v>
      </c>
      <c r="T55" s="721">
        <f>SUM(T36:T54)</f>
        <v>190068.87</v>
      </c>
      <c r="U55" s="742">
        <f t="shared" ref="U55:AA55" si="7">SUM(U36:U54)</f>
        <v>30706.29</v>
      </c>
      <c r="V55" s="721">
        <f t="shared" si="7"/>
        <v>7673.7699999999995</v>
      </c>
      <c r="W55" s="721">
        <f t="shared" si="7"/>
        <v>17729.64</v>
      </c>
      <c r="X55" s="721">
        <f t="shared" si="7"/>
        <v>270</v>
      </c>
      <c r="Y55" s="721">
        <f t="shared" si="7"/>
        <v>2237.88</v>
      </c>
      <c r="Z55" s="721">
        <f t="shared" si="7"/>
        <v>2795</v>
      </c>
      <c r="AA55" s="721">
        <f t="shared" si="7"/>
        <v>187532.90999999997</v>
      </c>
      <c r="AB55" s="149"/>
      <c r="AC55" s="149"/>
      <c r="AD55" s="149"/>
      <c r="AE55" s="149"/>
      <c r="AF55" s="149"/>
    </row>
    <row r="56" spans="1:32" ht="15" customHeight="1" x14ac:dyDescent="0.25"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9"/>
      <c r="AC56" s="149"/>
      <c r="AD56" s="149"/>
      <c r="AE56" s="149"/>
      <c r="AF56" s="149"/>
    </row>
    <row r="57" spans="1:32" ht="15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9"/>
      <c r="AC57" s="149"/>
      <c r="AD57" s="149"/>
      <c r="AE57" s="149"/>
      <c r="AF57" s="149"/>
    </row>
    <row r="58" spans="1:32" x14ac:dyDescent="0.25"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</row>
    <row r="59" spans="1:32" x14ac:dyDescent="0.25"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</row>
    <row r="60" spans="1:32" x14ac:dyDescent="0.25"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</row>
    <row r="61" spans="1:32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</row>
    <row r="62" spans="1:32" x14ac:dyDescent="0.25"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</row>
    <row r="63" spans="1:32" x14ac:dyDescent="0.25"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</row>
    <row r="64" spans="1:32" x14ac:dyDescent="0.25"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4:30" x14ac:dyDescent="0.25"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</row>
    <row r="66" spans="4:30" x14ac:dyDescent="0.25"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</row>
    <row r="67" spans="4:30" x14ac:dyDescent="0.25"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</row>
    <row r="68" spans="4:30" x14ac:dyDescent="0.25"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</row>
    <row r="69" spans="4:30" x14ac:dyDescent="0.25"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</row>
    <row r="70" spans="4:30" x14ac:dyDescent="0.25"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</row>
    <row r="71" spans="4:30" x14ac:dyDescent="0.25"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</row>
    <row r="72" spans="4:30" x14ac:dyDescent="0.25"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</row>
    <row r="73" spans="4:30" x14ac:dyDescent="0.25"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</row>
    <row r="74" spans="4:30" x14ac:dyDescent="0.25"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</row>
    <row r="75" spans="4:30" x14ac:dyDescent="0.25"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</row>
    <row r="76" spans="4:30" x14ac:dyDescent="0.25"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</row>
    <row r="77" spans="4:30" x14ac:dyDescent="0.25"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</row>
    <row r="78" spans="4:30" x14ac:dyDescent="0.25"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</row>
    <row r="79" spans="4:30" x14ac:dyDescent="0.25"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</row>
    <row r="80" spans="4:30" x14ac:dyDescent="0.25"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</row>
    <row r="81" spans="4:30" x14ac:dyDescent="0.25"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</row>
    <row r="82" spans="4:30" x14ac:dyDescent="0.25"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</row>
    <row r="83" spans="4:30" x14ac:dyDescent="0.25"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</row>
    <row r="84" spans="4:30" x14ac:dyDescent="0.25"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</row>
    <row r="85" spans="4:30" x14ac:dyDescent="0.25"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</row>
    <row r="86" spans="4:30" x14ac:dyDescent="0.25"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</row>
    <row r="87" spans="4:30" x14ac:dyDescent="0.25"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</row>
    <row r="88" spans="4:30" x14ac:dyDescent="0.25"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</row>
    <row r="89" spans="4:30" x14ac:dyDescent="0.25"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</row>
    <row r="90" spans="4:30" x14ac:dyDescent="0.25"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</row>
    <row r="91" spans="4:30" x14ac:dyDescent="0.25"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</row>
    <row r="92" spans="4:30" x14ac:dyDescent="0.25"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</row>
    <row r="93" spans="4:30" x14ac:dyDescent="0.25"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</row>
    <row r="94" spans="4:30" x14ac:dyDescent="0.25"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</row>
    <row r="95" spans="4:30" x14ac:dyDescent="0.25"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</row>
    <row r="96" spans="4:30" x14ac:dyDescent="0.25"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</row>
    <row r="97" spans="4:30" x14ac:dyDescent="0.25"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</row>
    <row r="98" spans="4:30" x14ac:dyDescent="0.25"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</row>
    <row r="99" spans="4:30" x14ac:dyDescent="0.25"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</row>
    <row r="100" spans="4:30" x14ac:dyDescent="0.25"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</row>
    <row r="101" spans="4:30" x14ac:dyDescent="0.25"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</row>
    <row r="102" spans="4:30" x14ac:dyDescent="0.25"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</row>
    <row r="103" spans="4:30" x14ac:dyDescent="0.25"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</row>
    <row r="104" spans="4:30" x14ac:dyDescent="0.25"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</row>
    <row r="105" spans="4:30" x14ac:dyDescent="0.25"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</row>
    <row r="106" spans="4:30" x14ac:dyDescent="0.25"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</row>
    <row r="107" spans="4:30" x14ac:dyDescent="0.25"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</row>
    <row r="108" spans="4:30" x14ac:dyDescent="0.25"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</row>
    <row r="109" spans="4:30" x14ac:dyDescent="0.25"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</row>
    <row r="110" spans="4:30" x14ac:dyDescent="0.25"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</row>
    <row r="111" spans="4:30" x14ac:dyDescent="0.25"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</row>
    <row r="112" spans="4:30" x14ac:dyDescent="0.25"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</row>
    <row r="113" spans="4:30" x14ac:dyDescent="0.25"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</row>
    <row r="114" spans="4:30" x14ac:dyDescent="0.25"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</row>
    <row r="115" spans="4:30" x14ac:dyDescent="0.25"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</row>
    <row r="116" spans="4:30" x14ac:dyDescent="0.25"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</row>
    <row r="117" spans="4:30" x14ac:dyDescent="0.25"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</row>
    <row r="118" spans="4:30" x14ac:dyDescent="0.25"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</row>
    <row r="119" spans="4:30" x14ac:dyDescent="0.25"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</row>
    <row r="120" spans="4:30" x14ac:dyDescent="0.25"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</row>
    <row r="121" spans="4:30" x14ac:dyDescent="0.25"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</row>
    <row r="122" spans="4:30" x14ac:dyDescent="0.25"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</row>
    <row r="123" spans="4:30" x14ac:dyDescent="0.25"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</row>
    <row r="124" spans="4:30" x14ac:dyDescent="0.25"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</row>
    <row r="125" spans="4:30" x14ac:dyDescent="0.25"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</row>
    <row r="126" spans="4:30" x14ac:dyDescent="0.25"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</row>
    <row r="127" spans="4:30" x14ac:dyDescent="0.25"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</row>
    <row r="128" spans="4:30" x14ac:dyDescent="0.25"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</row>
    <row r="129" spans="4:30" x14ac:dyDescent="0.25"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</row>
    <row r="130" spans="4:30" x14ac:dyDescent="0.25"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</row>
    <row r="131" spans="4:30" x14ac:dyDescent="0.25"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</row>
    <row r="132" spans="4:30" x14ac:dyDescent="0.25"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</row>
    <row r="133" spans="4:30" x14ac:dyDescent="0.25"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</row>
    <row r="134" spans="4:30" x14ac:dyDescent="0.25"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</row>
    <row r="135" spans="4:30" x14ac:dyDescent="0.25"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</row>
    <row r="136" spans="4:30" x14ac:dyDescent="0.25"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</row>
    <row r="137" spans="4:30" x14ac:dyDescent="0.25"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</row>
    <row r="138" spans="4:30" x14ac:dyDescent="0.25"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</row>
    <row r="139" spans="4:30" x14ac:dyDescent="0.25"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</row>
    <row r="140" spans="4:30" x14ac:dyDescent="0.25"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</row>
    <row r="141" spans="4:30" x14ac:dyDescent="0.25"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</row>
    <row r="142" spans="4:30" x14ac:dyDescent="0.25"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</row>
    <row r="143" spans="4:30" x14ac:dyDescent="0.25"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</row>
    <row r="144" spans="4:30" x14ac:dyDescent="0.25"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</row>
    <row r="145" spans="4:30" x14ac:dyDescent="0.25"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</row>
    <row r="146" spans="4:30" x14ac:dyDescent="0.25"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</row>
    <row r="147" spans="4:30" x14ac:dyDescent="0.25"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</row>
    <row r="148" spans="4:30" x14ac:dyDescent="0.25"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</row>
    <row r="149" spans="4:30" x14ac:dyDescent="0.25"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</row>
    <row r="150" spans="4:30" x14ac:dyDescent="0.25"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</row>
    <row r="151" spans="4:30" x14ac:dyDescent="0.25"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</row>
    <row r="152" spans="4:30" x14ac:dyDescent="0.25"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</row>
    <row r="153" spans="4:30" x14ac:dyDescent="0.25"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</row>
    <row r="154" spans="4:30" x14ac:dyDescent="0.25"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</row>
    <row r="155" spans="4:30" x14ac:dyDescent="0.25"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</row>
    <row r="156" spans="4:30" x14ac:dyDescent="0.25"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</row>
    <row r="157" spans="4:30" x14ac:dyDescent="0.25"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</row>
    <row r="158" spans="4:30" x14ac:dyDescent="0.25"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</row>
    <row r="159" spans="4:30" x14ac:dyDescent="0.25"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</row>
    <row r="160" spans="4:30" x14ac:dyDescent="0.25"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</row>
    <row r="161" spans="4:30" x14ac:dyDescent="0.25"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</row>
    <row r="162" spans="4:30" x14ac:dyDescent="0.25"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</row>
    <row r="163" spans="4:30" x14ac:dyDescent="0.25"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</row>
    <row r="164" spans="4:30" x14ac:dyDescent="0.25"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</row>
    <row r="165" spans="4:30" x14ac:dyDescent="0.25"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</row>
    <row r="166" spans="4:30" x14ac:dyDescent="0.25"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</row>
    <row r="167" spans="4:30" x14ac:dyDescent="0.25"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</row>
    <row r="168" spans="4:30" x14ac:dyDescent="0.25"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</row>
    <row r="169" spans="4:30" x14ac:dyDescent="0.25"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</row>
    <row r="170" spans="4:30" x14ac:dyDescent="0.25"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</row>
    <row r="171" spans="4:30" x14ac:dyDescent="0.25"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</row>
    <row r="172" spans="4:30" x14ac:dyDescent="0.25"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</row>
    <row r="173" spans="4:30" x14ac:dyDescent="0.25"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</row>
    <row r="174" spans="4:30" x14ac:dyDescent="0.25"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</row>
    <row r="175" spans="4:30" x14ac:dyDescent="0.25"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</row>
    <row r="176" spans="4:30" x14ac:dyDescent="0.25"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</row>
    <row r="177" spans="4:30" x14ac:dyDescent="0.25"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</row>
    <row r="178" spans="4:30" x14ac:dyDescent="0.25"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</row>
    <row r="179" spans="4:30" x14ac:dyDescent="0.25"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</row>
    <row r="180" spans="4:30" x14ac:dyDescent="0.25"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</row>
    <row r="181" spans="4:30" x14ac:dyDescent="0.25"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</row>
    <row r="182" spans="4:30" x14ac:dyDescent="0.25"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</row>
    <row r="183" spans="4:30" x14ac:dyDescent="0.25"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</row>
    <row r="184" spans="4:30" x14ac:dyDescent="0.25"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</row>
    <row r="185" spans="4:30" x14ac:dyDescent="0.25"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</row>
    <row r="186" spans="4:30" x14ac:dyDescent="0.25"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</row>
    <row r="187" spans="4:30" x14ac:dyDescent="0.25"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</row>
    <row r="188" spans="4:30" x14ac:dyDescent="0.25"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</row>
    <row r="189" spans="4:30" x14ac:dyDescent="0.25"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</row>
    <row r="190" spans="4:30" x14ac:dyDescent="0.25"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</row>
    <row r="191" spans="4:30" x14ac:dyDescent="0.25"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</row>
    <row r="192" spans="4:30" x14ac:dyDescent="0.25"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</row>
    <row r="193" spans="4:30" x14ac:dyDescent="0.25"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</row>
    <row r="194" spans="4:30" x14ac:dyDescent="0.25"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</row>
    <row r="195" spans="4:30" x14ac:dyDescent="0.25"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</row>
    <row r="196" spans="4:30" x14ac:dyDescent="0.25"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</row>
    <row r="197" spans="4:30" x14ac:dyDescent="0.25"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</row>
    <row r="198" spans="4:30" x14ac:dyDescent="0.25"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</row>
    <row r="199" spans="4:30" x14ac:dyDescent="0.25"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</row>
    <row r="200" spans="4:30" x14ac:dyDescent="0.25"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</row>
    <row r="201" spans="4:30" x14ac:dyDescent="0.25"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</row>
    <row r="202" spans="4:30" x14ac:dyDescent="0.25"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</row>
    <row r="203" spans="4:30" x14ac:dyDescent="0.25"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</row>
    <row r="204" spans="4:30" x14ac:dyDescent="0.25"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</row>
    <row r="205" spans="4:30" x14ac:dyDescent="0.25"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</row>
    <row r="206" spans="4:30" x14ac:dyDescent="0.25"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</row>
    <row r="207" spans="4:30" x14ac:dyDescent="0.25"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</row>
    <row r="208" spans="4:30" x14ac:dyDescent="0.25"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</row>
    <row r="209" spans="4:30" x14ac:dyDescent="0.25"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</row>
    <row r="210" spans="4:30" x14ac:dyDescent="0.25"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</row>
  </sheetData>
  <mergeCells count="43">
    <mergeCell ref="AE6:AE7"/>
    <mergeCell ref="I6:J6"/>
    <mergeCell ref="K6:L6"/>
    <mergeCell ref="D34:D35"/>
    <mergeCell ref="E34:E35"/>
    <mergeCell ref="F34:F35"/>
    <mergeCell ref="G34:G35"/>
    <mergeCell ref="H34:H35"/>
    <mergeCell ref="AA34:AA35"/>
    <mergeCell ref="V6:V7"/>
    <mergeCell ref="Q34:R34"/>
    <mergeCell ref="S34:T34"/>
    <mergeCell ref="U34:U35"/>
    <mergeCell ref="AC6:AC7"/>
    <mergeCell ref="AD6:AD7"/>
    <mergeCell ref="M6:N6"/>
    <mergeCell ref="D3:H3"/>
    <mergeCell ref="F6:F7"/>
    <mergeCell ref="G6:G7"/>
    <mergeCell ref="H6:H7"/>
    <mergeCell ref="A34:A35"/>
    <mergeCell ref="B34:B35"/>
    <mergeCell ref="C34:C35"/>
    <mergeCell ref="A6:A7"/>
    <mergeCell ref="B6:B7"/>
    <mergeCell ref="C6:C7"/>
    <mergeCell ref="D6:D7"/>
    <mergeCell ref="E6:E7"/>
    <mergeCell ref="AA6:AA7"/>
    <mergeCell ref="AB6:AB7"/>
    <mergeCell ref="O6:P6"/>
    <mergeCell ref="S6:T6"/>
    <mergeCell ref="U6:U7"/>
    <mergeCell ref="W6:W7"/>
    <mergeCell ref="X6:X7"/>
    <mergeCell ref="Y6:Y7"/>
    <mergeCell ref="Q6:R6"/>
    <mergeCell ref="Z6:Z7"/>
    <mergeCell ref="V34:V35"/>
    <mergeCell ref="W34:W35"/>
    <mergeCell ref="X34:X35"/>
    <mergeCell ref="Y34:Y35"/>
    <mergeCell ref="Z34:Z35"/>
  </mergeCells>
  <pageMargins left="0.17" right="0.17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N135"/>
  <sheetViews>
    <sheetView zoomScaleNormal="100" workbookViewId="0">
      <selection activeCell="C1" sqref="C1:AC1048576"/>
    </sheetView>
  </sheetViews>
  <sheetFormatPr defaultRowHeight="15" x14ac:dyDescent="0.25"/>
  <cols>
    <col min="1" max="1" width="4.5703125" customWidth="1"/>
    <col min="2" max="2" width="11.140625" hidden="1" customWidth="1"/>
    <col min="3" max="29" width="19.5703125" customWidth="1"/>
    <col min="30" max="30" width="10.5703125" customWidth="1"/>
    <col min="31" max="31" width="10.7109375" customWidth="1"/>
    <col min="32" max="32" width="12.28515625" customWidth="1"/>
    <col min="33" max="33" width="10.7109375" customWidth="1"/>
    <col min="34" max="34" width="12.42578125" customWidth="1"/>
    <col min="35" max="35" width="11.140625" customWidth="1"/>
    <col min="36" max="36" width="10.85546875" customWidth="1"/>
    <col min="37" max="37" width="10.42578125" customWidth="1"/>
    <col min="38" max="38" width="11" customWidth="1"/>
    <col min="39" max="39" width="10.140625" customWidth="1"/>
    <col min="40" max="40" width="10.42578125" customWidth="1"/>
    <col min="41" max="41" width="10.28515625" customWidth="1"/>
    <col min="42" max="42" width="10.42578125" customWidth="1"/>
    <col min="43" max="43" width="13.85546875" customWidth="1"/>
    <col min="44" max="44" width="15.28515625" customWidth="1"/>
    <col min="45" max="45" width="11.5703125" customWidth="1"/>
    <col min="46" max="46" width="9.5703125" customWidth="1"/>
    <col min="47" max="47" width="10.42578125" customWidth="1"/>
    <col min="48" max="48" width="11.85546875" customWidth="1"/>
    <col min="49" max="49" width="13" customWidth="1"/>
    <col min="50" max="50" width="10.5703125" customWidth="1"/>
    <col min="51" max="51" width="10.7109375" customWidth="1"/>
    <col min="52" max="54" width="11.42578125" customWidth="1"/>
    <col min="55" max="55" width="10.28515625" customWidth="1"/>
    <col min="56" max="56" width="10.28515625" style="27" customWidth="1"/>
    <col min="57" max="57" width="10.28515625" customWidth="1"/>
    <col min="58" max="58" width="10.5703125" customWidth="1"/>
    <col min="59" max="59" width="11.5703125" customWidth="1"/>
    <col min="60" max="60" width="11.28515625" customWidth="1"/>
    <col min="61" max="61" width="10.5703125" customWidth="1"/>
    <col min="62" max="62" width="11" customWidth="1"/>
    <col min="63" max="63" width="10.28515625" customWidth="1"/>
    <col min="64" max="64" width="11.42578125" style="32" customWidth="1"/>
    <col min="65" max="65" width="9.140625" customWidth="1"/>
  </cols>
  <sheetData>
    <row r="4" spans="1:66" ht="15.75" customHeight="1" x14ac:dyDescent="0.3">
      <c r="C4" s="950" t="s">
        <v>237</v>
      </c>
      <c r="D4" s="950"/>
      <c r="E4" s="950"/>
      <c r="F4" s="950"/>
      <c r="G4" s="950"/>
      <c r="H4" s="950"/>
      <c r="I4" s="950"/>
      <c r="J4" s="950"/>
      <c r="K4" s="950"/>
      <c r="L4" s="950"/>
      <c r="M4" s="950"/>
      <c r="N4" s="950"/>
      <c r="O4" s="950"/>
      <c r="P4" s="950"/>
      <c r="Q4" s="950"/>
      <c r="R4" s="950"/>
      <c r="S4" s="950"/>
      <c r="T4" s="950"/>
      <c r="U4" s="950"/>
      <c r="V4" s="950"/>
      <c r="W4" s="950"/>
      <c r="X4" s="950"/>
      <c r="Y4" s="950"/>
      <c r="Z4" s="950"/>
      <c r="AA4" s="950"/>
      <c r="AB4" s="950"/>
      <c r="AC4" s="950"/>
      <c r="AD4" s="950"/>
      <c r="AE4" s="950"/>
    </row>
    <row r="5" spans="1:66" ht="18.75" x14ac:dyDescent="0.3">
      <c r="C5" s="146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G5" s="143" t="s">
        <v>254</v>
      </c>
    </row>
    <row r="6" spans="1:66" ht="18.75" x14ac:dyDescent="0.3">
      <c r="C6" s="146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G6" s="143">
        <v>17391.13</v>
      </c>
      <c r="AT6" s="111"/>
      <c r="AU6" s="111"/>
      <c r="AV6" s="111"/>
      <c r="AW6" s="111"/>
    </row>
    <row r="7" spans="1:66" ht="18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T7" s="111"/>
      <c r="AU7" s="111"/>
      <c r="AV7" s="111"/>
      <c r="AW7" s="111"/>
      <c r="AX7" s="111"/>
    </row>
    <row r="8" spans="1:66" ht="46.5" customHeight="1" x14ac:dyDescent="0.25">
      <c r="A8" s="915" t="s">
        <v>0</v>
      </c>
      <c r="B8" s="860"/>
      <c r="C8" s="915" t="s">
        <v>130</v>
      </c>
      <c r="D8" s="915" t="s">
        <v>43</v>
      </c>
      <c r="E8" s="915" t="s">
        <v>44</v>
      </c>
      <c r="F8" s="915" t="s">
        <v>45</v>
      </c>
      <c r="G8" s="915" t="s">
        <v>46</v>
      </c>
      <c r="H8" s="915" t="s">
        <v>1</v>
      </c>
      <c r="I8" s="890" t="s">
        <v>215</v>
      </c>
      <c r="J8" s="891"/>
      <c r="K8" s="890" t="s">
        <v>238</v>
      </c>
      <c r="L8" s="891"/>
      <c r="M8" s="865" t="s">
        <v>240</v>
      </c>
      <c r="N8" s="866"/>
      <c r="O8" s="865" t="s">
        <v>241</v>
      </c>
      <c r="P8" s="866"/>
      <c r="Q8" s="865" t="s">
        <v>239</v>
      </c>
      <c r="R8" s="866"/>
      <c r="S8" s="865" t="s">
        <v>242</v>
      </c>
      <c r="T8" s="866"/>
      <c r="U8" s="865" t="s">
        <v>186</v>
      </c>
      <c r="V8" s="866"/>
      <c r="W8" s="865" t="s">
        <v>247</v>
      </c>
      <c r="X8" s="866"/>
      <c r="Y8" s="865" t="s">
        <v>243</v>
      </c>
      <c r="Z8" s="866"/>
      <c r="AA8" s="867" t="s">
        <v>248</v>
      </c>
      <c r="AB8" s="867"/>
      <c r="AC8" s="939" t="s">
        <v>204</v>
      </c>
      <c r="AD8" s="881" t="s">
        <v>241</v>
      </c>
      <c r="AE8" s="877" t="s">
        <v>242</v>
      </c>
      <c r="AF8" s="862" t="s">
        <v>224</v>
      </c>
      <c r="AG8" s="862" t="s">
        <v>2</v>
      </c>
      <c r="AH8" s="862" t="s">
        <v>192</v>
      </c>
      <c r="AI8" s="862" t="s">
        <v>249</v>
      </c>
      <c r="AJ8" s="873" t="s">
        <v>253</v>
      </c>
      <c r="AK8" s="862" t="s">
        <v>250</v>
      </c>
      <c r="AL8" s="877" t="s">
        <v>240</v>
      </c>
      <c r="AM8" s="879" t="s">
        <v>251</v>
      </c>
      <c r="AN8" s="881" t="s">
        <v>189</v>
      </c>
      <c r="AO8" s="877" t="s">
        <v>203</v>
      </c>
      <c r="AP8" s="882" t="s">
        <v>252</v>
      </c>
      <c r="AQ8" s="877" t="s">
        <v>255</v>
      </c>
      <c r="AR8" s="879" t="s">
        <v>257</v>
      </c>
      <c r="AS8" s="877" t="s">
        <v>367</v>
      </c>
      <c r="AT8" s="111"/>
      <c r="AU8" s="111"/>
      <c r="AV8" s="111"/>
      <c r="AW8" s="111"/>
      <c r="AX8" s="111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9"/>
    </row>
    <row r="9" spans="1:66" ht="49.5" customHeight="1" x14ac:dyDescent="0.25">
      <c r="A9" s="915"/>
      <c r="B9" s="861"/>
      <c r="C9" s="915"/>
      <c r="D9" s="915"/>
      <c r="E9" s="915"/>
      <c r="F9" s="915"/>
      <c r="G9" s="915"/>
      <c r="H9" s="915"/>
      <c r="I9" s="82" t="s">
        <v>4</v>
      </c>
      <c r="J9" s="217" t="s">
        <v>5</v>
      </c>
      <c r="K9" s="82" t="s">
        <v>4</v>
      </c>
      <c r="L9" s="517" t="s">
        <v>5</v>
      </c>
      <c r="M9" s="82" t="s">
        <v>4</v>
      </c>
      <c r="N9" s="517" t="s">
        <v>5</v>
      </c>
      <c r="O9" s="82" t="s">
        <v>4</v>
      </c>
      <c r="P9" s="517" t="s">
        <v>5</v>
      </c>
      <c r="Q9" s="82" t="s">
        <v>4</v>
      </c>
      <c r="R9" s="517" t="s">
        <v>5</v>
      </c>
      <c r="S9" s="82" t="s">
        <v>4</v>
      </c>
      <c r="T9" s="517" t="s">
        <v>5</v>
      </c>
      <c r="U9" s="82" t="s">
        <v>4</v>
      </c>
      <c r="V9" s="88" t="s">
        <v>5</v>
      </c>
      <c r="W9" s="82" t="s">
        <v>4</v>
      </c>
      <c r="X9" s="518" t="s">
        <v>5</v>
      </c>
      <c r="Y9" s="82" t="s">
        <v>4</v>
      </c>
      <c r="Z9" s="518" t="s">
        <v>5</v>
      </c>
      <c r="AA9" s="542" t="s">
        <v>4</v>
      </c>
      <c r="AB9" s="543" t="s">
        <v>5</v>
      </c>
      <c r="AC9" s="940"/>
      <c r="AD9" s="881"/>
      <c r="AE9" s="878"/>
      <c r="AF9" s="863"/>
      <c r="AG9" s="864"/>
      <c r="AH9" s="863"/>
      <c r="AI9" s="863"/>
      <c r="AJ9" s="874"/>
      <c r="AK9" s="863"/>
      <c r="AL9" s="878"/>
      <c r="AM9" s="880"/>
      <c r="AN9" s="881"/>
      <c r="AO9" s="864"/>
      <c r="AP9" s="864"/>
      <c r="AQ9" s="878"/>
      <c r="AR9" s="949"/>
      <c r="AS9" s="878"/>
      <c r="AT9" s="111"/>
      <c r="AU9" s="111"/>
      <c r="AV9" s="111"/>
      <c r="AW9" s="111"/>
      <c r="AX9" s="111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9"/>
    </row>
    <row r="10" spans="1:66" s="43" customFormat="1" x14ac:dyDescent="0.25">
      <c r="A10" s="519">
        <v>1</v>
      </c>
      <c r="B10" s="205">
        <v>42491</v>
      </c>
      <c r="C10" s="164" t="s">
        <v>47</v>
      </c>
      <c r="D10" s="251">
        <v>1976</v>
      </c>
      <c r="E10" s="245">
        <v>3</v>
      </c>
      <c r="F10" s="245">
        <v>24</v>
      </c>
      <c r="G10" s="245">
        <v>97</v>
      </c>
      <c r="H10" s="246">
        <v>1461.2</v>
      </c>
      <c r="I10" s="246"/>
      <c r="J10" s="246">
        <v>137.62</v>
      </c>
      <c r="K10" s="246">
        <v>5758.43</v>
      </c>
      <c r="L10" s="246">
        <v>5129.9399999999996</v>
      </c>
      <c r="M10" s="246">
        <v>271.56</v>
      </c>
      <c r="N10" s="246">
        <v>277.82</v>
      </c>
      <c r="O10" s="246">
        <v>9839.92</v>
      </c>
      <c r="P10" s="246">
        <v>11963.29</v>
      </c>
      <c r="Q10" s="246">
        <v>11668</v>
      </c>
      <c r="R10" s="246">
        <v>12814.2</v>
      </c>
      <c r="S10" s="246">
        <v>4320</v>
      </c>
      <c r="T10" s="246">
        <v>4406.05</v>
      </c>
      <c r="U10" s="176">
        <v>283999.03999999998</v>
      </c>
      <c r="V10" s="176">
        <v>255577.97</v>
      </c>
      <c r="W10" s="176">
        <v>32087.16</v>
      </c>
      <c r="X10" s="176"/>
      <c r="Y10" s="176">
        <f>U10-W10</f>
        <v>251911.87999999998</v>
      </c>
      <c r="Z10" s="176">
        <f>V10/U10*Y10</f>
        <v>226701.91740536728</v>
      </c>
      <c r="AA10" s="544">
        <f>I10+K10+M10+O10+Q10+S10+Y10</f>
        <v>283769.78999999998</v>
      </c>
      <c r="AB10" s="544">
        <f>J10+L10+N10+P10+R10+T10+Z10</f>
        <v>261430.83740536729</v>
      </c>
      <c r="AC10" s="743">
        <f>AD10+AE10+AF10+AG10+AH10+AI10+AJ10+AK10+AL10+AM10+AN10+AO10+AP10+AQ10+AR10</f>
        <v>293141.80349225085</v>
      </c>
      <c r="AD10" s="178">
        <v>7200</v>
      </c>
      <c r="AE10" s="176">
        <v>4320</v>
      </c>
      <c r="AF10" s="177">
        <v>960.08</v>
      </c>
      <c r="AG10" s="177"/>
      <c r="AH10" s="177">
        <f>1390870.46/17391.13*H10</f>
        <v>116860.71670742499</v>
      </c>
      <c r="AI10" s="177">
        <v>28131.57</v>
      </c>
      <c r="AJ10" s="177">
        <f>2206.96/17391.13*H10</f>
        <v>185.42843116002237</v>
      </c>
      <c r="AK10" s="177">
        <v>5866.43</v>
      </c>
      <c r="AL10" s="177"/>
      <c r="AM10" s="177">
        <v>1857.53</v>
      </c>
      <c r="AN10" s="177">
        <f>766381.37/17391.13*H10</f>
        <v>64391.241848229532</v>
      </c>
      <c r="AO10" s="177">
        <f>83651.81/17391.13*H10</f>
        <v>7028.4118842191392</v>
      </c>
      <c r="AP10" s="177">
        <f>2950/17391.13*H10</f>
        <v>247.85853478181119</v>
      </c>
      <c r="AQ10" s="177">
        <f>580910.04/15709.31*H10</f>
        <v>54033.293024836865</v>
      </c>
      <c r="AR10" s="177">
        <f>22138.85/15709.31*H10</f>
        <v>2059.243061598504</v>
      </c>
      <c r="AS10" s="737">
        <f>AA10-AC10</f>
        <v>-9372.0134922508732</v>
      </c>
      <c r="AT10" s="111"/>
      <c r="AU10" s="111"/>
      <c r="AV10" s="111"/>
      <c r="AW10" s="111"/>
      <c r="AX10" s="111"/>
      <c r="AY10" s="28"/>
      <c r="AZ10" s="46"/>
      <c r="BA10" s="46"/>
      <c r="BB10" s="46"/>
      <c r="BC10" s="28"/>
      <c r="BD10" s="28"/>
      <c r="BE10" s="47"/>
      <c r="BF10" s="47"/>
      <c r="BG10" s="47"/>
      <c r="BH10" s="48"/>
      <c r="BI10" s="47"/>
      <c r="BJ10" s="48"/>
      <c r="BK10" s="47"/>
      <c r="BL10" s="77"/>
      <c r="BM10" s="28"/>
      <c r="BN10" s="23"/>
    </row>
    <row r="11" spans="1:66" s="43" customFormat="1" x14ac:dyDescent="0.25">
      <c r="A11" s="519">
        <v>2</v>
      </c>
      <c r="B11" s="201"/>
      <c r="C11" s="164" t="s">
        <v>48</v>
      </c>
      <c r="D11" s="251">
        <v>1977</v>
      </c>
      <c r="E11" s="245">
        <v>3</v>
      </c>
      <c r="F11" s="245">
        <v>24</v>
      </c>
      <c r="G11" s="245">
        <v>81</v>
      </c>
      <c r="H11" s="246">
        <v>1456.7</v>
      </c>
      <c r="I11" s="246"/>
      <c r="J11" s="246"/>
      <c r="K11" s="246">
        <v>1874.37</v>
      </c>
      <c r="L11" s="246">
        <v>1773.45</v>
      </c>
      <c r="M11" s="246">
        <v>719.12</v>
      </c>
      <c r="N11" s="246">
        <v>662.34</v>
      </c>
      <c r="O11" s="246">
        <v>6560</v>
      </c>
      <c r="P11" s="246">
        <v>7437.48</v>
      </c>
      <c r="Q11" s="246">
        <v>11653.52</v>
      </c>
      <c r="R11" s="246">
        <v>11923.8</v>
      </c>
      <c r="S11" s="246"/>
      <c r="T11" s="246"/>
      <c r="U11" s="176">
        <v>236276.88</v>
      </c>
      <c r="V11" s="176">
        <v>201663.67</v>
      </c>
      <c r="W11" s="176">
        <v>32047.48</v>
      </c>
      <c r="X11" s="176"/>
      <c r="Y11" s="176">
        <f t="shared" ref="Y11:Y40" si="0">U11-W11</f>
        <v>204229.4</v>
      </c>
      <c r="Z11" s="176">
        <f t="shared" ref="Z11:Z40" si="1">V11/U11*Y11</f>
        <v>174310.96231632141</v>
      </c>
      <c r="AA11" s="544">
        <f t="shared" ref="AA11:AA40" si="2">I11+K11+M11+O11+Q11+S11+Y11</f>
        <v>225036.41</v>
      </c>
      <c r="AB11" s="544">
        <f t="shared" ref="AB11:AB39" si="3">J11+L11+N11+P11+R11+T11+Z11</f>
        <v>196108.03231632142</v>
      </c>
      <c r="AC11" s="743">
        <f t="shared" ref="AC11:AC39" si="4">AD11+AE11+AF11+AG11+AH11+AI11+AJ11+AK11+AL11+AM11+AN11+AO11+AP11+AQ11+AR11</f>
        <v>287704.96351502999</v>
      </c>
      <c r="AD11" s="178">
        <v>7200</v>
      </c>
      <c r="AE11" s="176"/>
      <c r="AF11" s="177">
        <v>958.89</v>
      </c>
      <c r="AG11" s="177"/>
      <c r="AH11" s="177">
        <f t="shared" ref="AH11:AH39" si="5">1390870.46/17391.13*H11</f>
        <v>116500.82536798932</v>
      </c>
      <c r="AI11" s="177">
        <v>28096.68</v>
      </c>
      <c r="AJ11" s="177">
        <f t="shared" ref="AJ11:AJ39" si="6">2206.96/17391.13*H11</f>
        <v>184.8573745351797</v>
      </c>
      <c r="AK11" s="177">
        <v>2833.67</v>
      </c>
      <c r="AL11" s="177"/>
      <c r="AM11" s="177">
        <v>4563.45</v>
      </c>
      <c r="AN11" s="177">
        <f t="shared" ref="AN11:AN39" si="7">766381.37/17391.13*H11</f>
        <v>64192.938680752777</v>
      </c>
      <c r="AO11" s="177">
        <f t="shared" ref="AO11:AO39" si="8">83651.81/17391.13*H11</f>
        <v>7006.7667613892827</v>
      </c>
      <c r="AP11" s="177">
        <f t="shared" ref="AP11:AP39" si="9">2950/17391.13*H11</f>
        <v>247.09521462952668</v>
      </c>
      <c r="AQ11" s="177">
        <f t="shared" ref="AQ11:AQ19" si="10">580910.04/15709.31*H11</f>
        <v>53866.888823761197</v>
      </c>
      <c r="AR11" s="177">
        <f t="shared" ref="AR11:AR19" si="11">22138.85/15709.31*H11</f>
        <v>2052.9012919727215</v>
      </c>
      <c r="AS11" s="737">
        <f t="shared" ref="AS11:AS39" si="12">AA11-AC11</f>
        <v>-62668.553515029984</v>
      </c>
      <c r="AT11" s="111"/>
      <c r="AU11" s="111"/>
      <c r="AV11" s="111"/>
      <c r="AW11" s="111"/>
      <c r="AX11" s="111"/>
      <c r="AY11" s="28"/>
      <c r="AZ11" s="46"/>
      <c r="BA11" s="46"/>
      <c r="BB11" s="46"/>
      <c r="BC11" s="28"/>
      <c r="BD11" s="28"/>
      <c r="BE11" s="47"/>
      <c r="BF11" s="47"/>
      <c r="BG11" s="47"/>
      <c r="BH11" s="48"/>
      <c r="BI11" s="47"/>
      <c r="BJ11" s="48"/>
      <c r="BK11" s="47"/>
      <c r="BL11" s="77"/>
      <c r="BM11" s="28"/>
      <c r="BN11" s="23"/>
    </row>
    <row r="12" spans="1:66" s="43" customFormat="1" x14ac:dyDescent="0.25">
      <c r="A12" s="519">
        <v>3</v>
      </c>
      <c r="B12" s="201"/>
      <c r="C12" s="164" t="s">
        <v>49</v>
      </c>
      <c r="D12" s="251">
        <v>1972</v>
      </c>
      <c r="E12" s="245">
        <v>2</v>
      </c>
      <c r="F12" s="245">
        <v>18</v>
      </c>
      <c r="G12" s="245">
        <v>57</v>
      </c>
      <c r="H12" s="246">
        <v>776.8</v>
      </c>
      <c r="I12" s="246">
        <v>695.16</v>
      </c>
      <c r="J12" s="246">
        <v>775.62</v>
      </c>
      <c r="K12" s="246"/>
      <c r="L12" s="246"/>
      <c r="M12" s="246">
        <v>182.85</v>
      </c>
      <c r="N12" s="246">
        <v>238.29</v>
      </c>
      <c r="O12" s="246">
        <v>3690</v>
      </c>
      <c r="P12" s="246">
        <v>4131.9799999999996</v>
      </c>
      <c r="Q12" s="246">
        <v>6214.4</v>
      </c>
      <c r="R12" s="246">
        <v>6870.43</v>
      </c>
      <c r="S12" s="246"/>
      <c r="T12" s="246"/>
      <c r="U12" s="176">
        <v>132863.84</v>
      </c>
      <c r="V12" s="176">
        <v>120717.14</v>
      </c>
      <c r="W12" s="176">
        <v>17089.64</v>
      </c>
      <c r="X12" s="176"/>
      <c r="Y12" s="176">
        <f t="shared" si="0"/>
        <v>115774.2</v>
      </c>
      <c r="Z12" s="176">
        <f t="shared" si="1"/>
        <v>105189.8719003455</v>
      </c>
      <c r="AA12" s="544">
        <f t="shared" si="2"/>
        <v>126556.61</v>
      </c>
      <c r="AB12" s="544">
        <f t="shared" si="3"/>
        <v>117206.1919003455</v>
      </c>
      <c r="AC12" s="743">
        <f t="shared" si="4"/>
        <v>154043.64184559294</v>
      </c>
      <c r="AD12" s="178">
        <v>5400</v>
      </c>
      <c r="AE12" s="176"/>
      <c r="AF12" s="177">
        <v>511.34</v>
      </c>
      <c r="AG12" s="177"/>
      <c r="AH12" s="177">
        <f t="shared" si="5"/>
        <v>62125.242771918784</v>
      </c>
      <c r="AI12" s="177">
        <v>14982.89</v>
      </c>
      <c r="AJ12" s="177">
        <f t="shared" si="6"/>
        <v>98.577063595062526</v>
      </c>
      <c r="AK12" s="177">
        <v>721.98</v>
      </c>
      <c r="AL12" s="177"/>
      <c r="AM12" s="177">
        <v>2284.09</v>
      </c>
      <c r="AN12" s="177">
        <f t="shared" si="7"/>
        <v>34231.533443542772</v>
      </c>
      <c r="AO12" s="177">
        <f t="shared" si="8"/>
        <v>3736.4292031627615</v>
      </c>
      <c r="AP12" s="177">
        <f t="shared" si="9"/>
        <v>131.76602095436007</v>
      </c>
      <c r="AQ12" s="177">
        <f t="shared" si="10"/>
        <v>28725.062976795289</v>
      </c>
      <c r="AR12" s="177">
        <f t="shared" si="11"/>
        <v>1094.7303656239515</v>
      </c>
      <c r="AS12" s="737">
        <f t="shared" si="12"/>
        <v>-27487.031845592937</v>
      </c>
      <c r="AT12" s="111"/>
      <c r="AU12" s="111"/>
      <c r="AV12" s="111"/>
      <c r="AW12" s="111"/>
      <c r="AX12" s="111"/>
      <c r="AY12" s="28"/>
      <c r="AZ12" s="46"/>
      <c r="BA12" s="46"/>
      <c r="BB12" s="46"/>
      <c r="BC12" s="28"/>
      <c r="BD12" s="28"/>
      <c r="BE12" s="47"/>
      <c r="BF12" s="47"/>
      <c r="BG12" s="47"/>
      <c r="BH12" s="48"/>
      <c r="BI12" s="47"/>
      <c r="BJ12" s="48"/>
      <c r="BK12" s="47"/>
      <c r="BL12" s="77"/>
      <c r="BM12" s="28"/>
      <c r="BN12" s="23"/>
    </row>
    <row r="13" spans="1:66" s="43" customFormat="1" x14ac:dyDescent="0.25">
      <c r="A13" s="519">
        <v>4</v>
      </c>
      <c r="B13" s="201"/>
      <c r="C13" s="164" t="s">
        <v>50</v>
      </c>
      <c r="D13" s="251">
        <v>1973</v>
      </c>
      <c r="E13" s="245">
        <v>2</v>
      </c>
      <c r="F13" s="245">
        <v>18</v>
      </c>
      <c r="G13" s="245">
        <v>49</v>
      </c>
      <c r="H13" s="246">
        <v>773.51</v>
      </c>
      <c r="I13" s="246">
        <v>694.91</v>
      </c>
      <c r="J13" s="246">
        <v>667.65</v>
      </c>
      <c r="K13" s="246"/>
      <c r="L13" s="246"/>
      <c r="M13" s="246">
        <v>72.930000000000007</v>
      </c>
      <c r="N13" s="246">
        <v>75.89</v>
      </c>
      <c r="O13" s="246">
        <v>2050</v>
      </c>
      <c r="P13" s="246">
        <v>2122.87</v>
      </c>
      <c r="Q13" s="246">
        <v>6195.28</v>
      </c>
      <c r="R13" s="246">
        <v>6835.69</v>
      </c>
      <c r="S13" s="246"/>
      <c r="T13" s="246"/>
      <c r="U13" s="176">
        <v>131340.16</v>
      </c>
      <c r="V13" s="176">
        <v>118450.3</v>
      </c>
      <c r="W13" s="176">
        <v>17037.04</v>
      </c>
      <c r="X13" s="176"/>
      <c r="Y13" s="176">
        <f t="shared" si="0"/>
        <v>114303.12</v>
      </c>
      <c r="Z13" s="176">
        <f t="shared" si="1"/>
        <v>103085.29283759058</v>
      </c>
      <c r="AA13" s="544">
        <f t="shared" si="2"/>
        <v>123316.23999999999</v>
      </c>
      <c r="AB13" s="544">
        <f t="shared" si="3"/>
        <v>112787.39283759057</v>
      </c>
      <c r="AC13" s="743">
        <f t="shared" si="4"/>
        <v>152172.81257335818</v>
      </c>
      <c r="AD13" s="178">
        <v>5400</v>
      </c>
      <c r="AE13" s="176"/>
      <c r="AF13" s="177">
        <v>509.77</v>
      </c>
      <c r="AG13" s="177"/>
      <c r="AH13" s="177">
        <f t="shared" si="5"/>
        <v>61862.122214864707</v>
      </c>
      <c r="AI13" s="177">
        <v>14936.83</v>
      </c>
      <c r="AJ13" s="177">
        <f t="shared" si="6"/>
        <v>98.159557751566453</v>
      </c>
      <c r="AK13" s="177">
        <v>721.98</v>
      </c>
      <c r="AL13" s="177"/>
      <c r="AM13" s="177">
        <v>1012.09</v>
      </c>
      <c r="AN13" s="177">
        <f t="shared" si="7"/>
        <v>34086.551794431987</v>
      </c>
      <c r="AO13" s="177">
        <f t="shared" si="8"/>
        <v>3720.6042133604888</v>
      </c>
      <c r="AP13" s="177">
        <f t="shared" si="9"/>
        <v>131.20794910968982</v>
      </c>
      <c r="AQ13" s="177">
        <f t="shared" si="10"/>
        <v>28603.4030164533</v>
      </c>
      <c r="AR13" s="177">
        <f t="shared" si="11"/>
        <v>1090.0938273864351</v>
      </c>
      <c r="AS13" s="737">
        <f t="shared" si="12"/>
        <v>-28856.572573358193</v>
      </c>
      <c r="AT13" s="111"/>
      <c r="AU13" s="111"/>
      <c r="AV13" s="111"/>
      <c r="AW13" s="111"/>
      <c r="AX13" s="111"/>
      <c r="AY13" s="28"/>
      <c r="AZ13" s="46"/>
      <c r="BA13" s="46"/>
      <c r="BB13" s="46"/>
      <c r="BC13" s="28"/>
      <c r="BD13" s="28"/>
      <c r="BE13" s="47"/>
      <c r="BF13" s="47"/>
      <c r="BG13" s="47"/>
      <c r="BH13" s="48"/>
      <c r="BI13" s="47"/>
      <c r="BJ13" s="48"/>
      <c r="BK13" s="47"/>
      <c r="BL13" s="77"/>
      <c r="BM13" s="28"/>
      <c r="BN13" s="23"/>
    </row>
    <row r="14" spans="1:66" s="43" customFormat="1" x14ac:dyDescent="0.25">
      <c r="A14" s="519">
        <v>5</v>
      </c>
      <c r="B14" s="201"/>
      <c r="C14" s="164" t="s">
        <v>51</v>
      </c>
      <c r="D14" s="251">
        <v>1980</v>
      </c>
      <c r="E14" s="245">
        <v>3</v>
      </c>
      <c r="F14" s="245">
        <v>36</v>
      </c>
      <c r="G14" s="245">
        <v>93</v>
      </c>
      <c r="H14" s="246">
        <v>1799.9</v>
      </c>
      <c r="I14" s="246"/>
      <c r="J14" s="246">
        <v>117.52</v>
      </c>
      <c r="K14" s="246">
        <v>12517.3</v>
      </c>
      <c r="L14" s="246">
        <v>12372.84</v>
      </c>
      <c r="M14" s="246">
        <v>1000.54</v>
      </c>
      <c r="N14" s="246">
        <v>1017.66</v>
      </c>
      <c r="O14" s="246">
        <v>9430.08</v>
      </c>
      <c r="P14" s="246">
        <v>11483.19</v>
      </c>
      <c r="Q14" s="246">
        <v>14379.7</v>
      </c>
      <c r="R14" s="246">
        <v>16078.21</v>
      </c>
      <c r="S14" s="246"/>
      <c r="T14" s="246"/>
      <c r="U14" s="176">
        <v>356953.58</v>
      </c>
      <c r="V14" s="176">
        <v>344227.78</v>
      </c>
      <c r="W14" s="176">
        <v>39544.18</v>
      </c>
      <c r="X14" s="176"/>
      <c r="Y14" s="176">
        <f t="shared" si="0"/>
        <v>317409.40000000002</v>
      </c>
      <c r="Z14" s="176">
        <f t="shared" si="1"/>
        <v>306093.39486980916</v>
      </c>
      <c r="AA14" s="544">
        <f t="shared" si="2"/>
        <v>354737.02</v>
      </c>
      <c r="AB14" s="544">
        <f t="shared" si="3"/>
        <v>347162.81486980914</v>
      </c>
      <c r="AC14" s="743">
        <f t="shared" si="4"/>
        <v>365067.22711107472</v>
      </c>
      <c r="AD14" s="178">
        <v>10800</v>
      </c>
      <c r="AE14" s="176"/>
      <c r="AF14" s="177">
        <v>1183.48</v>
      </c>
      <c r="AG14" s="177"/>
      <c r="AH14" s="177">
        <f t="shared" si="5"/>
        <v>143948.53818895036</v>
      </c>
      <c r="AI14" s="177">
        <v>34669.18</v>
      </c>
      <c r="AJ14" s="177">
        <f t="shared" si="6"/>
        <v>228.40995978984688</v>
      </c>
      <c r="AK14" s="177">
        <v>13382.44</v>
      </c>
      <c r="AL14" s="177"/>
      <c r="AM14" s="177">
        <v>3480.89</v>
      </c>
      <c r="AN14" s="177">
        <f t="shared" si="7"/>
        <v>79316.860253646548</v>
      </c>
      <c r="AO14" s="177">
        <f t="shared" si="8"/>
        <v>8657.5681292129957</v>
      </c>
      <c r="AP14" s="177">
        <f t="shared" si="9"/>
        <v>305.31109824375989</v>
      </c>
      <c r="AQ14" s="177">
        <f t="shared" si="10"/>
        <v>66557.982559132142</v>
      </c>
      <c r="AR14" s="177">
        <f t="shared" si="11"/>
        <v>2536.5669220990608</v>
      </c>
      <c r="AS14" s="737">
        <f t="shared" si="12"/>
        <v>-10330.207111074706</v>
      </c>
      <c r="AT14" s="111"/>
      <c r="AU14" s="111"/>
      <c r="AV14" s="111"/>
      <c r="AW14" s="111"/>
      <c r="AX14" s="111"/>
      <c r="AY14" s="28"/>
      <c r="AZ14" s="46"/>
      <c r="BA14" s="46"/>
      <c r="BB14" s="46"/>
      <c r="BC14" s="28"/>
      <c r="BD14" s="28"/>
      <c r="BE14" s="47"/>
      <c r="BF14" s="47"/>
      <c r="BG14" s="47"/>
      <c r="BH14" s="48"/>
      <c r="BI14" s="47"/>
      <c r="BJ14" s="48"/>
      <c r="BK14" s="47"/>
      <c r="BL14" s="77"/>
      <c r="BM14" s="28"/>
      <c r="BN14" s="23"/>
    </row>
    <row r="15" spans="1:66" s="43" customFormat="1" x14ac:dyDescent="0.25">
      <c r="A15" s="519">
        <v>6</v>
      </c>
      <c r="B15" s="201"/>
      <c r="C15" s="164" t="s">
        <v>52</v>
      </c>
      <c r="D15" s="251">
        <v>1982</v>
      </c>
      <c r="E15" s="245">
        <v>3</v>
      </c>
      <c r="F15" s="245">
        <v>24</v>
      </c>
      <c r="G15" s="245">
        <v>84</v>
      </c>
      <c r="H15" s="246">
        <v>1454.2</v>
      </c>
      <c r="I15" s="246"/>
      <c r="J15" s="246">
        <v>164.27</v>
      </c>
      <c r="K15" s="246">
        <v>4379.47</v>
      </c>
      <c r="L15" s="246">
        <v>4887.62</v>
      </c>
      <c r="M15" s="246">
        <v>265.64</v>
      </c>
      <c r="N15" s="246">
        <v>265.33999999999997</v>
      </c>
      <c r="O15" s="246">
        <v>9840.24</v>
      </c>
      <c r="P15" s="246">
        <v>10799.65</v>
      </c>
      <c r="Q15" s="246">
        <v>11633.6</v>
      </c>
      <c r="R15" s="246">
        <v>12309.92</v>
      </c>
      <c r="S15" s="246"/>
      <c r="T15" s="246"/>
      <c r="U15" s="176">
        <v>278232.48</v>
      </c>
      <c r="V15" s="176">
        <v>241964.48</v>
      </c>
      <c r="W15" s="176">
        <v>31992.44</v>
      </c>
      <c r="X15" s="176"/>
      <c r="Y15" s="176">
        <f t="shared" si="0"/>
        <v>246240.03999999998</v>
      </c>
      <c r="Z15" s="176">
        <f t="shared" si="1"/>
        <v>214142.3001145632</v>
      </c>
      <c r="AA15" s="544">
        <f t="shared" si="2"/>
        <v>272358.99</v>
      </c>
      <c r="AB15" s="544">
        <f t="shared" si="3"/>
        <v>242569.10011456319</v>
      </c>
      <c r="AC15" s="743">
        <f t="shared" si="4"/>
        <v>287225.46908324066</v>
      </c>
      <c r="AD15" s="178">
        <v>7200</v>
      </c>
      <c r="AE15" s="176"/>
      <c r="AF15" s="177">
        <v>957.25</v>
      </c>
      <c r="AG15" s="177"/>
      <c r="AH15" s="177">
        <f t="shared" si="5"/>
        <v>116300.8857349695</v>
      </c>
      <c r="AI15" s="177">
        <v>28048.67</v>
      </c>
      <c r="AJ15" s="177">
        <f t="shared" si="6"/>
        <v>184.54012085471157</v>
      </c>
      <c r="AK15" s="177">
        <v>4694.7</v>
      </c>
      <c r="AL15" s="177"/>
      <c r="AM15" s="177">
        <v>2691.42</v>
      </c>
      <c r="AN15" s="177">
        <f t="shared" si="7"/>
        <v>64082.770254376803</v>
      </c>
      <c r="AO15" s="177">
        <f t="shared" si="8"/>
        <v>6994.741693150474</v>
      </c>
      <c r="AP15" s="177">
        <f t="shared" si="9"/>
        <v>246.6711478782575</v>
      </c>
      <c r="AQ15" s="177">
        <f t="shared" si="10"/>
        <v>53774.442045385826</v>
      </c>
      <c r="AR15" s="177">
        <f t="shared" si="11"/>
        <v>2049.378086625065</v>
      </c>
      <c r="AS15" s="737">
        <f t="shared" si="12"/>
        <v>-14866.479083240672</v>
      </c>
      <c r="AT15" s="111"/>
      <c r="AU15" s="111"/>
      <c r="AV15" s="111"/>
      <c r="AW15" s="111"/>
      <c r="AX15" s="111"/>
      <c r="AY15" s="28"/>
      <c r="AZ15" s="46"/>
      <c r="BA15" s="46"/>
      <c r="BB15" s="46"/>
      <c r="BC15" s="28"/>
      <c r="BD15" s="28"/>
      <c r="BE15" s="47"/>
      <c r="BF15" s="47"/>
      <c r="BG15" s="47"/>
      <c r="BH15" s="48"/>
      <c r="BI15" s="47"/>
      <c r="BJ15" s="48"/>
      <c r="BK15" s="47"/>
      <c r="BL15" s="77"/>
      <c r="BM15" s="28"/>
      <c r="BN15" s="23"/>
    </row>
    <row r="16" spans="1:66" s="43" customFormat="1" x14ac:dyDescent="0.25">
      <c r="A16" s="519">
        <v>7</v>
      </c>
      <c r="B16" s="201"/>
      <c r="C16" s="164" t="s">
        <v>53</v>
      </c>
      <c r="D16" s="251">
        <v>1982</v>
      </c>
      <c r="E16" s="245">
        <v>3</v>
      </c>
      <c r="F16" s="245">
        <v>24</v>
      </c>
      <c r="G16" s="245">
        <v>95</v>
      </c>
      <c r="H16" s="246">
        <v>1458.3</v>
      </c>
      <c r="I16" s="246"/>
      <c r="J16" s="246">
        <v>4.87</v>
      </c>
      <c r="K16" s="246">
        <v>3065.2</v>
      </c>
      <c r="L16" s="246">
        <v>3216.25</v>
      </c>
      <c r="M16" s="246">
        <v>265.83999999999997</v>
      </c>
      <c r="N16" s="246">
        <v>317.04000000000002</v>
      </c>
      <c r="O16" s="246">
        <v>6355.04</v>
      </c>
      <c r="P16" s="246">
        <v>6824</v>
      </c>
      <c r="Q16" s="246">
        <v>11661.6</v>
      </c>
      <c r="R16" s="246">
        <v>12739.94</v>
      </c>
      <c r="S16" s="246"/>
      <c r="T16" s="246"/>
      <c r="U16" s="176">
        <v>278843.43</v>
      </c>
      <c r="V16" s="176">
        <v>254316.18</v>
      </c>
      <c r="W16" s="176">
        <v>32069.439999999999</v>
      </c>
      <c r="X16" s="176"/>
      <c r="Y16" s="176">
        <f t="shared" si="0"/>
        <v>246773.99</v>
      </c>
      <c r="Z16" s="176">
        <f t="shared" si="1"/>
        <v>225067.58886217329</v>
      </c>
      <c r="AA16" s="544">
        <f t="shared" si="2"/>
        <v>268121.67</v>
      </c>
      <c r="AB16" s="544">
        <f t="shared" si="3"/>
        <v>248169.68886217329</v>
      </c>
      <c r="AC16" s="743">
        <f t="shared" si="4"/>
        <v>286177.27395137516</v>
      </c>
      <c r="AD16" s="178">
        <v>7500</v>
      </c>
      <c r="AE16" s="176"/>
      <c r="AF16" s="177">
        <v>959.55</v>
      </c>
      <c r="AG16" s="177"/>
      <c r="AH16" s="177">
        <f t="shared" si="5"/>
        <v>116628.78673312199</v>
      </c>
      <c r="AI16" s="177">
        <v>28116.17</v>
      </c>
      <c r="AJ16" s="177">
        <f t="shared" si="6"/>
        <v>185.06041689067931</v>
      </c>
      <c r="AK16" s="177">
        <v>3227.86</v>
      </c>
      <c r="AL16" s="177"/>
      <c r="AM16" s="177">
        <v>2053.36</v>
      </c>
      <c r="AN16" s="177">
        <f t="shared" si="7"/>
        <v>64263.446473633398</v>
      </c>
      <c r="AO16" s="177">
        <f t="shared" si="8"/>
        <v>7014.4628050621204</v>
      </c>
      <c r="AP16" s="177">
        <f t="shared" si="9"/>
        <v>247.36661735033894</v>
      </c>
      <c r="AQ16" s="177">
        <f t="shared" si="10"/>
        <v>53926.054761921434</v>
      </c>
      <c r="AR16" s="177">
        <f t="shared" si="11"/>
        <v>2055.156143395222</v>
      </c>
      <c r="AS16" s="737">
        <f t="shared" si="12"/>
        <v>-18055.603951375175</v>
      </c>
      <c r="AT16" s="111"/>
      <c r="AU16" s="111"/>
      <c r="AV16" s="111"/>
      <c r="AW16" s="111"/>
      <c r="AX16" s="111"/>
      <c r="AY16" s="28"/>
      <c r="AZ16" s="46"/>
      <c r="BA16" s="46"/>
      <c r="BB16" s="46"/>
      <c r="BC16" s="28"/>
      <c r="BD16" s="28"/>
      <c r="BE16" s="47"/>
      <c r="BF16" s="47"/>
      <c r="BG16" s="47"/>
      <c r="BH16" s="48"/>
      <c r="BI16" s="47"/>
      <c r="BJ16" s="48"/>
      <c r="BK16" s="47"/>
      <c r="BL16" s="77"/>
      <c r="BM16" s="28"/>
      <c r="BN16" s="23"/>
    </row>
    <row r="17" spans="1:66" s="43" customFormat="1" x14ac:dyDescent="0.25">
      <c r="A17" s="519">
        <v>8</v>
      </c>
      <c r="B17" s="201"/>
      <c r="C17" s="164" t="s">
        <v>54</v>
      </c>
      <c r="D17" s="251">
        <v>1983</v>
      </c>
      <c r="E17" s="245">
        <v>3</v>
      </c>
      <c r="F17" s="245">
        <v>24</v>
      </c>
      <c r="G17" s="245">
        <v>83</v>
      </c>
      <c r="H17" s="246">
        <v>1446.6</v>
      </c>
      <c r="I17" s="246"/>
      <c r="J17" s="246"/>
      <c r="K17" s="246">
        <v>3809.96</v>
      </c>
      <c r="L17" s="246">
        <v>5068.4399999999996</v>
      </c>
      <c r="M17" s="246">
        <v>640.63</v>
      </c>
      <c r="N17" s="246">
        <v>683.11</v>
      </c>
      <c r="O17" s="246">
        <v>3280</v>
      </c>
      <c r="P17" s="246">
        <v>3751.12</v>
      </c>
      <c r="Q17" s="246">
        <v>11571.96</v>
      </c>
      <c r="R17" s="246">
        <v>12652.78</v>
      </c>
      <c r="S17" s="246"/>
      <c r="T17" s="246"/>
      <c r="U17" s="176">
        <v>277858.73</v>
      </c>
      <c r="V17" s="176">
        <v>268998.73</v>
      </c>
      <c r="W17" s="176">
        <v>31823.02</v>
      </c>
      <c r="X17" s="176"/>
      <c r="Y17" s="176">
        <f t="shared" si="0"/>
        <v>246035.71</v>
      </c>
      <c r="Z17" s="176">
        <f t="shared" si="1"/>
        <v>238190.44132479947</v>
      </c>
      <c r="AA17" s="544">
        <f t="shared" si="2"/>
        <v>265338.26</v>
      </c>
      <c r="AB17" s="544">
        <f t="shared" si="3"/>
        <v>260345.89132479945</v>
      </c>
      <c r="AC17" s="743">
        <f t="shared" si="4"/>
        <v>285261.35201060091</v>
      </c>
      <c r="AD17" s="178">
        <v>7200</v>
      </c>
      <c r="AE17" s="176"/>
      <c r="AF17" s="177">
        <v>952.18</v>
      </c>
      <c r="AG17" s="177"/>
      <c r="AH17" s="177">
        <f t="shared" si="5"/>
        <v>115693.06925058924</v>
      </c>
      <c r="AI17" s="177">
        <v>27900.03</v>
      </c>
      <c r="AJ17" s="177">
        <f t="shared" si="6"/>
        <v>183.57566966608837</v>
      </c>
      <c r="AK17" s="177">
        <v>4041.36</v>
      </c>
      <c r="AL17" s="177"/>
      <c r="AM17" s="177">
        <v>2807.64</v>
      </c>
      <c r="AN17" s="177">
        <f t="shared" si="7"/>
        <v>63747.858238193832</v>
      </c>
      <c r="AO17" s="177">
        <f t="shared" si="8"/>
        <v>6958.1854857044937</v>
      </c>
      <c r="AP17" s="177">
        <f t="shared" si="9"/>
        <v>245.38198495439914</v>
      </c>
      <c r="AQ17" s="177">
        <f t="shared" si="10"/>
        <v>53493.403839124694</v>
      </c>
      <c r="AR17" s="177">
        <f t="shared" si="11"/>
        <v>2038.6675423681877</v>
      </c>
      <c r="AS17" s="737">
        <f t="shared" si="12"/>
        <v>-19923.0920106009</v>
      </c>
      <c r="AT17" s="111"/>
      <c r="AU17" s="111"/>
      <c r="AV17" s="111"/>
      <c r="AW17" s="111"/>
      <c r="AX17" s="111"/>
      <c r="AY17" s="28"/>
      <c r="AZ17" s="46"/>
      <c r="BA17" s="46"/>
      <c r="BB17" s="46"/>
      <c r="BC17" s="28"/>
      <c r="BD17" s="28"/>
      <c r="BE17" s="47"/>
      <c r="BF17" s="47"/>
      <c r="BG17" s="47"/>
      <c r="BH17" s="48"/>
      <c r="BI17" s="47"/>
      <c r="BJ17" s="48"/>
      <c r="BK17" s="47"/>
      <c r="BL17" s="77"/>
      <c r="BM17" s="28"/>
      <c r="BN17" s="23"/>
    </row>
    <row r="18" spans="1:66" s="43" customFormat="1" x14ac:dyDescent="0.25">
      <c r="A18" s="519">
        <v>9</v>
      </c>
      <c r="B18" s="201"/>
      <c r="C18" s="164" t="s">
        <v>55</v>
      </c>
      <c r="D18" s="251">
        <v>1984</v>
      </c>
      <c r="E18" s="245">
        <v>3</v>
      </c>
      <c r="F18" s="245">
        <v>24</v>
      </c>
      <c r="G18" s="245">
        <v>68</v>
      </c>
      <c r="H18" s="246">
        <v>1448</v>
      </c>
      <c r="I18" s="246"/>
      <c r="J18" s="246">
        <v>15.07</v>
      </c>
      <c r="K18" s="246">
        <v>4238.67</v>
      </c>
      <c r="L18" s="246">
        <v>5019.16</v>
      </c>
      <c r="M18" s="246">
        <v>786.04</v>
      </c>
      <c r="N18" s="246">
        <v>839.33</v>
      </c>
      <c r="O18" s="246">
        <v>5740</v>
      </c>
      <c r="P18" s="246">
        <v>662.5</v>
      </c>
      <c r="Q18" s="246">
        <v>11584</v>
      </c>
      <c r="R18" s="246">
        <v>13640.29</v>
      </c>
      <c r="S18" s="246"/>
      <c r="T18" s="246"/>
      <c r="U18" s="176">
        <v>278146.46999999997</v>
      </c>
      <c r="V18" s="176">
        <v>272030.44</v>
      </c>
      <c r="W18" s="176">
        <v>31856</v>
      </c>
      <c r="X18" s="176"/>
      <c r="Y18" s="176">
        <f t="shared" si="0"/>
        <v>246290.46999999997</v>
      </c>
      <c r="Z18" s="176">
        <f t="shared" si="1"/>
        <v>240874.90638262205</v>
      </c>
      <c r="AA18" s="544">
        <f t="shared" si="2"/>
        <v>268639.18</v>
      </c>
      <c r="AB18" s="544">
        <f t="shared" si="3"/>
        <v>261051.25638262206</v>
      </c>
      <c r="AC18" s="743">
        <f t="shared" si="4"/>
        <v>285412.83489240299</v>
      </c>
      <c r="AD18" s="178">
        <v>7200</v>
      </c>
      <c r="AE18" s="176"/>
      <c r="AF18" s="177">
        <v>953.17</v>
      </c>
      <c r="AG18" s="177"/>
      <c r="AH18" s="177">
        <f t="shared" si="5"/>
        <v>115805.03544508034</v>
      </c>
      <c r="AI18" s="177">
        <v>27929.040000000001</v>
      </c>
      <c r="AJ18" s="177">
        <f t="shared" si="6"/>
        <v>183.75333172715054</v>
      </c>
      <c r="AK18" s="177">
        <v>4523.4399999999996</v>
      </c>
      <c r="AL18" s="177"/>
      <c r="AM18" s="177">
        <v>2212.4899999999998</v>
      </c>
      <c r="AN18" s="177">
        <f t="shared" si="7"/>
        <v>63809.552556964387</v>
      </c>
      <c r="AO18" s="177">
        <f t="shared" si="8"/>
        <v>6964.9195239182272</v>
      </c>
      <c r="AP18" s="177">
        <f t="shared" si="9"/>
        <v>245.61946233510992</v>
      </c>
      <c r="AQ18" s="177">
        <f t="shared" si="10"/>
        <v>53545.174035014905</v>
      </c>
      <c r="AR18" s="177">
        <f t="shared" si="11"/>
        <v>2040.6405373628756</v>
      </c>
      <c r="AS18" s="737">
        <f t="shared" si="12"/>
        <v>-16773.654892402992</v>
      </c>
      <c r="AT18" s="111"/>
      <c r="AU18" s="111"/>
      <c r="AV18" s="111"/>
      <c r="AW18" s="111"/>
      <c r="AX18" s="111"/>
      <c r="AY18" s="28"/>
      <c r="AZ18" s="46"/>
      <c r="BA18" s="46"/>
      <c r="BB18" s="46"/>
      <c r="BC18" s="28"/>
      <c r="BD18" s="28"/>
      <c r="BE18" s="47"/>
      <c r="BF18" s="47"/>
      <c r="BG18" s="47"/>
      <c r="BH18" s="48"/>
      <c r="BI18" s="47"/>
      <c r="BJ18" s="48"/>
      <c r="BK18" s="47"/>
      <c r="BL18" s="77"/>
      <c r="BM18" s="28"/>
      <c r="BN18" s="23"/>
    </row>
    <row r="19" spans="1:66" s="43" customFormat="1" x14ac:dyDescent="0.25">
      <c r="A19" s="519">
        <v>10</v>
      </c>
      <c r="B19" s="201"/>
      <c r="C19" s="164" t="s">
        <v>56</v>
      </c>
      <c r="D19" s="251">
        <v>1987</v>
      </c>
      <c r="E19" s="245">
        <v>3</v>
      </c>
      <c r="F19" s="245">
        <v>27</v>
      </c>
      <c r="G19" s="245">
        <v>82</v>
      </c>
      <c r="H19" s="246">
        <v>1459.2</v>
      </c>
      <c r="I19" s="246"/>
      <c r="J19" s="246">
        <v>39.58</v>
      </c>
      <c r="K19" s="246">
        <v>7084.65</v>
      </c>
      <c r="L19" s="246">
        <v>7849.23</v>
      </c>
      <c r="M19" s="246">
        <v>660.66</v>
      </c>
      <c r="N19" s="246">
        <v>664.48</v>
      </c>
      <c r="O19" s="246">
        <v>5740</v>
      </c>
      <c r="P19" s="246">
        <v>6882</v>
      </c>
      <c r="Q19" s="246">
        <v>11680</v>
      </c>
      <c r="R19" s="246">
        <v>13489.01</v>
      </c>
      <c r="S19" s="246">
        <v>4320</v>
      </c>
      <c r="T19" s="246">
        <v>4273.8599999999997</v>
      </c>
      <c r="U19" s="176">
        <v>281035.48</v>
      </c>
      <c r="V19" s="176">
        <v>281396.25</v>
      </c>
      <c r="W19" s="176">
        <v>32120</v>
      </c>
      <c r="X19" s="176"/>
      <c r="Y19" s="176">
        <f t="shared" si="0"/>
        <v>248915.47999999998</v>
      </c>
      <c r="Z19" s="176">
        <f t="shared" si="1"/>
        <v>249235.01701262058</v>
      </c>
      <c r="AA19" s="544">
        <f t="shared" si="2"/>
        <v>278400.78999999998</v>
      </c>
      <c r="AB19" s="544">
        <f t="shared" si="3"/>
        <v>282433.17701262055</v>
      </c>
      <c r="AC19" s="743">
        <f t="shared" si="4"/>
        <v>295924.68794681941</v>
      </c>
      <c r="AD19" s="178">
        <v>8100</v>
      </c>
      <c r="AE19" s="176">
        <v>4320</v>
      </c>
      <c r="AF19" s="177">
        <v>961.06</v>
      </c>
      <c r="AG19" s="177"/>
      <c r="AH19" s="177">
        <f t="shared" si="5"/>
        <v>116700.76500100915</v>
      </c>
      <c r="AI19" s="177">
        <v>28160.5</v>
      </c>
      <c r="AJ19" s="177">
        <f t="shared" si="6"/>
        <v>185.17462821564786</v>
      </c>
      <c r="AK19" s="177">
        <v>7513.41</v>
      </c>
      <c r="AL19" s="177"/>
      <c r="AM19" s="177">
        <v>2398.6</v>
      </c>
      <c r="AN19" s="177">
        <f t="shared" si="7"/>
        <v>64303.107107128752</v>
      </c>
      <c r="AO19" s="177">
        <f t="shared" si="8"/>
        <v>7018.7918296280923</v>
      </c>
      <c r="AP19" s="177">
        <f t="shared" si="9"/>
        <v>247.51928138079586</v>
      </c>
      <c r="AQ19" s="177">
        <f t="shared" si="10"/>
        <v>53959.335602136569</v>
      </c>
      <c r="AR19" s="177">
        <f t="shared" si="11"/>
        <v>2056.4244973203786</v>
      </c>
      <c r="AS19" s="737">
        <f t="shared" si="12"/>
        <v>-17523.89794681943</v>
      </c>
      <c r="AT19" s="111"/>
      <c r="AU19" s="111"/>
      <c r="AV19" s="111"/>
      <c r="AW19" s="111"/>
      <c r="AX19" s="111"/>
      <c r="AY19" s="28"/>
      <c r="AZ19" s="46"/>
      <c r="BA19" s="46"/>
      <c r="BB19" s="46"/>
      <c r="BC19" s="28"/>
      <c r="BD19" s="28"/>
      <c r="BE19" s="47"/>
      <c r="BF19" s="47"/>
      <c r="BG19" s="47"/>
      <c r="BH19" s="48"/>
      <c r="BI19" s="47"/>
      <c r="BJ19" s="48"/>
      <c r="BK19" s="47"/>
      <c r="BL19" s="77"/>
      <c r="BM19" s="28"/>
      <c r="BN19" s="23"/>
    </row>
    <row r="20" spans="1:66" s="43" customFormat="1" x14ac:dyDescent="0.25">
      <c r="A20" s="519">
        <v>11</v>
      </c>
      <c r="B20" s="205">
        <v>42491</v>
      </c>
      <c r="C20" s="164" t="s">
        <v>57</v>
      </c>
      <c r="D20" s="251">
        <v>1952</v>
      </c>
      <c r="E20" s="245">
        <v>1</v>
      </c>
      <c r="F20" s="245">
        <v>2</v>
      </c>
      <c r="G20" s="245">
        <v>5</v>
      </c>
      <c r="H20" s="246">
        <v>58.6</v>
      </c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176">
        <v>4359.84</v>
      </c>
      <c r="V20" s="176"/>
      <c r="W20" s="176"/>
      <c r="X20" s="176"/>
      <c r="Y20" s="176">
        <f t="shared" si="0"/>
        <v>4359.84</v>
      </c>
      <c r="Z20" s="176">
        <f t="shared" si="1"/>
        <v>0</v>
      </c>
      <c r="AA20" s="544">
        <f t="shared" si="2"/>
        <v>4359.84</v>
      </c>
      <c r="AB20" s="544">
        <f t="shared" si="3"/>
        <v>0</v>
      </c>
      <c r="AC20" s="743">
        <f t="shared" si="4"/>
        <v>8374.4470626750535</v>
      </c>
      <c r="AD20" s="178"/>
      <c r="AE20" s="176"/>
      <c r="AF20" s="177">
        <v>38.58</v>
      </c>
      <c r="AG20" s="177"/>
      <c r="AH20" s="177">
        <f t="shared" si="5"/>
        <v>4686.5849979846053</v>
      </c>
      <c r="AI20" s="179">
        <v>755.2</v>
      </c>
      <c r="AJ20" s="177">
        <f t="shared" si="6"/>
        <v>7.4364262701733583</v>
      </c>
      <c r="AK20" s="177"/>
      <c r="AL20" s="177"/>
      <c r="AM20" s="177">
        <v>12.49</v>
      </c>
      <c r="AN20" s="177">
        <f t="shared" si="7"/>
        <v>2582.3479142528404</v>
      </c>
      <c r="AO20" s="177">
        <f t="shared" si="8"/>
        <v>281.86759951768516</v>
      </c>
      <c r="AP20" s="177">
        <f t="shared" si="9"/>
        <v>9.9401246497496132</v>
      </c>
      <c r="AQ20" s="177"/>
      <c r="AR20" s="177"/>
      <c r="AS20" s="737">
        <f t="shared" si="12"/>
        <v>-4014.6070626750534</v>
      </c>
      <c r="AT20" s="111"/>
      <c r="AU20" s="111"/>
      <c r="AV20" s="111"/>
      <c r="AW20" s="111"/>
      <c r="AX20" s="111"/>
      <c r="AY20" s="28"/>
      <c r="AZ20" s="46"/>
      <c r="BA20" s="46"/>
      <c r="BB20" s="46"/>
      <c r="BC20" s="28"/>
      <c r="BD20" s="28"/>
      <c r="BE20" s="47"/>
      <c r="BF20" s="47"/>
      <c r="BG20" s="47"/>
      <c r="BH20" s="48"/>
      <c r="BI20" s="47"/>
      <c r="BJ20" s="23"/>
      <c r="BK20" s="47"/>
      <c r="BL20" s="77"/>
      <c r="BM20" s="28"/>
      <c r="BN20" s="23"/>
    </row>
    <row r="21" spans="1:66" s="43" customFormat="1" x14ac:dyDescent="0.25">
      <c r="A21" s="519">
        <v>12</v>
      </c>
      <c r="B21" s="205">
        <v>42461</v>
      </c>
      <c r="C21" s="164" t="s">
        <v>58</v>
      </c>
      <c r="D21" s="251">
        <v>1940</v>
      </c>
      <c r="E21" s="245">
        <v>1</v>
      </c>
      <c r="F21" s="245">
        <v>1</v>
      </c>
      <c r="G21" s="245">
        <v>8</v>
      </c>
      <c r="H21" s="246">
        <v>29.9</v>
      </c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176">
        <v>2224.56</v>
      </c>
      <c r="V21" s="176">
        <v>2199.3000000000002</v>
      </c>
      <c r="W21" s="176"/>
      <c r="X21" s="176"/>
      <c r="Y21" s="176">
        <f t="shared" si="0"/>
        <v>2224.56</v>
      </c>
      <c r="Z21" s="176">
        <f t="shared" si="1"/>
        <v>2199.3000000000002</v>
      </c>
      <c r="AA21" s="544">
        <f t="shared" si="2"/>
        <v>2224.56</v>
      </c>
      <c r="AB21" s="544">
        <f t="shared" si="3"/>
        <v>2199.3000000000002</v>
      </c>
      <c r="AC21" s="743">
        <f t="shared" si="4"/>
        <v>4273.0183988734489</v>
      </c>
      <c r="AD21" s="178"/>
      <c r="AE21" s="176"/>
      <c r="AF21" s="177">
        <v>19.68</v>
      </c>
      <c r="AG21" s="177"/>
      <c r="AH21" s="177">
        <f t="shared" si="5"/>
        <v>2391.2780109170594</v>
      </c>
      <c r="AI21" s="179">
        <v>385.39</v>
      </c>
      <c r="AJ21" s="177">
        <f t="shared" si="6"/>
        <v>3.7943540183990341</v>
      </c>
      <c r="AK21" s="177"/>
      <c r="AL21" s="177"/>
      <c r="AM21" s="177">
        <v>6.37</v>
      </c>
      <c r="AN21" s="177">
        <f t="shared" si="7"/>
        <v>1317.614379456654</v>
      </c>
      <c r="AO21" s="177">
        <f t="shared" si="8"/>
        <v>143.81981613615676</v>
      </c>
      <c r="AP21" s="177">
        <f t="shared" si="9"/>
        <v>5.07183834517941</v>
      </c>
      <c r="AQ21" s="177"/>
      <c r="AR21" s="177"/>
      <c r="AS21" s="737">
        <f t="shared" si="12"/>
        <v>-2048.4583988734489</v>
      </c>
      <c r="AT21" s="111"/>
      <c r="AU21" s="111"/>
      <c r="AV21" s="111"/>
      <c r="AW21" s="111"/>
      <c r="AX21" s="111"/>
      <c r="AY21" s="28"/>
      <c r="AZ21" s="46"/>
      <c r="BA21" s="46"/>
      <c r="BB21" s="46"/>
      <c r="BC21" s="28"/>
      <c r="BD21" s="28"/>
      <c r="BE21" s="47"/>
      <c r="BF21" s="47"/>
      <c r="BG21" s="47"/>
      <c r="BH21" s="48"/>
      <c r="BI21" s="47"/>
      <c r="BJ21" s="48"/>
      <c r="BK21" s="47"/>
      <c r="BL21" s="77"/>
      <c r="BM21" s="28"/>
      <c r="BN21" s="23"/>
    </row>
    <row r="22" spans="1:66" s="43" customFormat="1" x14ac:dyDescent="0.25">
      <c r="A22" s="519">
        <v>13</v>
      </c>
      <c r="B22" s="205">
        <v>42461</v>
      </c>
      <c r="C22" s="164" t="s">
        <v>59</v>
      </c>
      <c r="D22" s="251">
        <v>1943</v>
      </c>
      <c r="E22" s="245">
        <v>1</v>
      </c>
      <c r="F22" s="245">
        <v>1</v>
      </c>
      <c r="G22" s="245">
        <v>3</v>
      </c>
      <c r="H22" s="246">
        <v>44.6</v>
      </c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176">
        <v>3318.24</v>
      </c>
      <c r="V22" s="176">
        <v>3594.76</v>
      </c>
      <c r="W22" s="176"/>
      <c r="X22" s="176"/>
      <c r="Y22" s="176">
        <f t="shared" si="0"/>
        <v>3318.24</v>
      </c>
      <c r="Z22" s="176">
        <f t="shared" si="1"/>
        <v>3594.76</v>
      </c>
      <c r="AA22" s="544">
        <f t="shared" si="2"/>
        <v>3318.24</v>
      </c>
      <c r="AB22" s="544">
        <f t="shared" si="3"/>
        <v>3594.76</v>
      </c>
      <c r="AC22" s="743">
        <f t="shared" si="4"/>
        <v>6373.710153503539</v>
      </c>
      <c r="AD22" s="178"/>
      <c r="AE22" s="176"/>
      <c r="AF22" s="177">
        <v>29.36</v>
      </c>
      <c r="AG22" s="177"/>
      <c r="AH22" s="177">
        <f t="shared" si="5"/>
        <v>3566.9230530736072</v>
      </c>
      <c r="AI22" s="179">
        <v>574.77</v>
      </c>
      <c r="AJ22" s="177">
        <f t="shared" si="6"/>
        <v>5.6598056595517372</v>
      </c>
      <c r="AK22" s="177"/>
      <c r="AL22" s="177"/>
      <c r="AM22" s="177">
        <v>9.5</v>
      </c>
      <c r="AN22" s="177">
        <f t="shared" si="7"/>
        <v>1965.4047265473837</v>
      </c>
      <c r="AO22" s="177">
        <f t="shared" si="8"/>
        <v>214.52721738035424</v>
      </c>
      <c r="AP22" s="177">
        <f t="shared" si="9"/>
        <v>7.5653508426421974</v>
      </c>
      <c r="AQ22" s="177"/>
      <c r="AR22" s="177"/>
      <c r="AS22" s="737">
        <f t="shared" si="12"/>
        <v>-3055.4701535035392</v>
      </c>
      <c r="AT22" s="111"/>
      <c r="AU22" s="111"/>
      <c r="AV22" s="111"/>
      <c r="AW22" s="111"/>
      <c r="AX22" s="111"/>
      <c r="AY22" s="28"/>
      <c r="AZ22" s="46"/>
      <c r="BA22" s="46"/>
      <c r="BB22" s="46"/>
      <c r="BC22" s="28"/>
      <c r="BD22" s="28"/>
      <c r="BE22" s="47"/>
      <c r="BF22" s="47"/>
      <c r="BG22" s="47"/>
      <c r="BH22" s="48"/>
      <c r="BI22" s="47"/>
      <c r="BJ22" s="48"/>
      <c r="BK22" s="47"/>
      <c r="BL22" s="77"/>
      <c r="BM22" s="28"/>
      <c r="BN22" s="23"/>
    </row>
    <row r="23" spans="1:66" s="43" customFormat="1" x14ac:dyDescent="0.25">
      <c r="A23" s="519">
        <v>14</v>
      </c>
      <c r="B23" s="205">
        <v>42461</v>
      </c>
      <c r="C23" s="164" t="s">
        <v>60</v>
      </c>
      <c r="D23" s="251">
        <v>1962</v>
      </c>
      <c r="E23" s="245">
        <v>1</v>
      </c>
      <c r="F23" s="245">
        <v>2</v>
      </c>
      <c r="G23" s="245">
        <v>7</v>
      </c>
      <c r="H23" s="246">
        <v>85.8</v>
      </c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176">
        <v>8813.4</v>
      </c>
      <c r="V23" s="176">
        <v>8813.4</v>
      </c>
      <c r="W23" s="176"/>
      <c r="X23" s="176"/>
      <c r="Y23" s="176">
        <f t="shared" si="0"/>
        <v>8813.4</v>
      </c>
      <c r="Z23" s="176">
        <f t="shared" si="1"/>
        <v>8813.4</v>
      </c>
      <c r="AA23" s="544">
        <f t="shared" si="2"/>
        <v>8813.4</v>
      </c>
      <c r="AB23" s="544">
        <f t="shared" si="3"/>
        <v>8813.4</v>
      </c>
      <c r="AC23" s="743">
        <f t="shared" si="4"/>
        <v>12261.581057636851</v>
      </c>
      <c r="AD23" s="178"/>
      <c r="AE23" s="176"/>
      <c r="AF23" s="177">
        <v>56.48</v>
      </c>
      <c r="AG23" s="177"/>
      <c r="AH23" s="177">
        <f t="shared" si="5"/>
        <v>6861.9282052402577</v>
      </c>
      <c r="AI23" s="179">
        <v>1105.77</v>
      </c>
      <c r="AJ23" s="177">
        <f t="shared" si="6"/>
        <v>10.888146313666793</v>
      </c>
      <c r="AK23" s="177"/>
      <c r="AL23" s="177"/>
      <c r="AM23" s="177">
        <v>18.28</v>
      </c>
      <c r="AN23" s="177">
        <f t="shared" si="7"/>
        <v>3780.9803932234418</v>
      </c>
      <c r="AO23" s="177">
        <f t="shared" si="8"/>
        <v>412.70034195592808</v>
      </c>
      <c r="AP23" s="177">
        <f t="shared" si="9"/>
        <v>14.553970903558307</v>
      </c>
      <c r="AQ23" s="177"/>
      <c r="AR23" s="177"/>
      <c r="AS23" s="737">
        <f t="shared" si="12"/>
        <v>-3448.1810576368516</v>
      </c>
      <c r="AT23" s="111"/>
      <c r="AU23" s="111"/>
      <c r="AV23" s="111"/>
      <c r="AW23" s="111"/>
      <c r="AX23" s="111"/>
      <c r="AY23" s="28"/>
      <c r="AZ23" s="46"/>
      <c r="BA23" s="46"/>
      <c r="BB23" s="46"/>
      <c r="BC23" s="28"/>
      <c r="BD23" s="28"/>
      <c r="BE23" s="47"/>
      <c r="BF23" s="47"/>
      <c r="BG23" s="47"/>
      <c r="BH23" s="48"/>
      <c r="BI23" s="47"/>
      <c r="BJ23" s="48"/>
      <c r="BK23" s="47"/>
      <c r="BL23" s="77"/>
      <c r="BM23" s="28"/>
      <c r="BN23" s="23"/>
    </row>
    <row r="24" spans="1:66" s="43" customFormat="1" x14ac:dyDescent="0.25">
      <c r="A24" s="519">
        <v>15</v>
      </c>
      <c r="B24" s="201"/>
      <c r="C24" s="164" t="s">
        <v>61</v>
      </c>
      <c r="D24" s="251">
        <v>1968</v>
      </c>
      <c r="E24" s="245">
        <v>2</v>
      </c>
      <c r="F24" s="245">
        <v>16</v>
      </c>
      <c r="G24" s="245">
        <v>36</v>
      </c>
      <c r="H24" s="246">
        <v>722.8</v>
      </c>
      <c r="I24" s="246">
        <v>848.89</v>
      </c>
      <c r="J24" s="246">
        <v>657.66</v>
      </c>
      <c r="K24" s="246"/>
      <c r="L24" s="246"/>
      <c r="M24" s="246">
        <v>221.95</v>
      </c>
      <c r="N24" s="246">
        <v>163.07</v>
      </c>
      <c r="O24" s="246">
        <v>3690</v>
      </c>
      <c r="P24" s="246">
        <v>3777.59</v>
      </c>
      <c r="Q24" s="246">
        <v>5744.6</v>
      </c>
      <c r="R24" s="246">
        <v>5431.61</v>
      </c>
      <c r="S24" s="246"/>
      <c r="T24" s="246"/>
      <c r="U24" s="176">
        <v>134774.29999999999</v>
      </c>
      <c r="V24" s="176">
        <v>103212.16</v>
      </c>
      <c r="W24" s="176">
        <v>15797.69</v>
      </c>
      <c r="X24" s="176"/>
      <c r="Y24" s="176">
        <f t="shared" si="0"/>
        <v>118976.60999999999</v>
      </c>
      <c r="Z24" s="176">
        <f t="shared" si="1"/>
        <v>91114.054441964079</v>
      </c>
      <c r="AA24" s="544">
        <f t="shared" si="2"/>
        <v>129482.04999999999</v>
      </c>
      <c r="AB24" s="544">
        <f t="shared" si="3"/>
        <v>101143.98444196407</v>
      </c>
      <c r="AC24" s="743">
        <f t="shared" si="4"/>
        <v>142729.98211894257</v>
      </c>
      <c r="AD24" s="178">
        <v>4800</v>
      </c>
      <c r="AE24" s="176"/>
      <c r="AF24" s="177">
        <v>473.95</v>
      </c>
      <c r="AG24" s="177"/>
      <c r="AH24" s="177">
        <f t="shared" si="5"/>
        <v>57806.546698690654</v>
      </c>
      <c r="AI24" s="177">
        <v>13852.09</v>
      </c>
      <c r="AJ24" s="177">
        <f t="shared" si="6"/>
        <v>91.724384096950558</v>
      </c>
      <c r="AK24" s="177">
        <v>893.88</v>
      </c>
      <c r="AL24" s="177"/>
      <c r="AM24" s="177">
        <v>1613.76</v>
      </c>
      <c r="AN24" s="177">
        <f t="shared" si="7"/>
        <v>31851.895433821723</v>
      </c>
      <c r="AO24" s="177">
        <f t="shared" si="8"/>
        <v>3476.6877292044851</v>
      </c>
      <c r="AP24" s="177">
        <f t="shared" si="9"/>
        <v>122.60617912694575</v>
      </c>
      <c r="AQ24" s="177">
        <f>580910.04/15709.31*H24</f>
        <v>26728.212563887275</v>
      </c>
      <c r="AR24" s="177">
        <f>22138.85/15709.31*H24</f>
        <v>1018.6291301145625</v>
      </c>
      <c r="AS24" s="737">
        <f t="shared" si="12"/>
        <v>-13247.932118942583</v>
      </c>
      <c r="AT24" s="111"/>
      <c r="AU24" s="111"/>
      <c r="AV24" s="111"/>
      <c r="AW24" s="111"/>
      <c r="AX24" s="111"/>
      <c r="AY24" s="28"/>
      <c r="AZ24" s="46"/>
      <c r="BA24" s="46"/>
      <c r="BB24" s="46"/>
      <c r="BC24" s="28"/>
      <c r="BD24" s="28"/>
      <c r="BE24" s="47"/>
      <c r="BF24" s="47"/>
      <c r="BG24" s="47"/>
      <c r="BH24" s="48"/>
      <c r="BI24" s="47"/>
      <c r="BJ24" s="48"/>
      <c r="BK24" s="47"/>
      <c r="BL24" s="77"/>
      <c r="BM24" s="28"/>
      <c r="BN24" s="23"/>
    </row>
    <row r="25" spans="1:66" s="43" customFormat="1" x14ac:dyDescent="0.25">
      <c r="A25" s="519">
        <v>16</v>
      </c>
      <c r="B25" s="201"/>
      <c r="C25" s="164" t="s">
        <v>62</v>
      </c>
      <c r="D25" s="251">
        <v>1971</v>
      </c>
      <c r="E25" s="245">
        <v>2</v>
      </c>
      <c r="F25" s="245">
        <v>16</v>
      </c>
      <c r="G25" s="245">
        <v>47</v>
      </c>
      <c r="H25" s="246">
        <v>727.4</v>
      </c>
      <c r="I25" s="246">
        <v>848.64</v>
      </c>
      <c r="J25" s="246">
        <v>770.54</v>
      </c>
      <c r="K25" s="246"/>
      <c r="L25" s="246"/>
      <c r="M25" s="246">
        <v>103.68</v>
      </c>
      <c r="N25" s="246">
        <v>122.71</v>
      </c>
      <c r="O25" s="246">
        <v>2870</v>
      </c>
      <c r="P25" s="246">
        <v>3322.21</v>
      </c>
      <c r="Q25" s="246">
        <v>5818.39</v>
      </c>
      <c r="R25" s="246">
        <v>6132.85</v>
      </c>
      <c r="S25" s="246"/>
      <c r="T25" s="246"/>
      <c r="U25" s="176">
        <v>136528.76999999999</v>
      </c>
      <c r="V25" s="176">
        <v>114298.63</v>
      </c>
      <c r="W25" s="176">
        <v>16000.6</v>
      </c>
      <c r="X25" s="176"/>
      <c r="Y25" s="176">
        <f t="shared" si="0"/>
        <v>120528.16999999998</v>
      </c>
      <c r="Z25" s="176">
        <f t="shared" si="1"/>
        <v>100903.30929815819</v>
      </c>
      <c r="AA25" s="544">
        <f t="shared" si="2"/>
        <v>130168.87999999998</v>
      </c>
      <c r="AB25" s="544">
        <f t="shared" si="3"/>
        <v>111251.61929815818</v>
      </c>
      <c r="AC25" s="743">
        <f t="shared" si="4"/>
        <v>143842.36587343502</v>
      </c>
      <c r="AD25" s="178">
        <v>4800</v>
      </c>
      <c r="AE25" s="176"/>
      <c r="AF25" s="177">
        <v>478.76</v>
      </c>
      <c r="AG25" s="177"/>
      <c r="AH25" s="177">
        <f t="shared" si="5"/>
        <v>58174.43562344712</v>
      </c>
      <c r="AI25" s="177">
        <v>14028.13</v>
      </c>
      <c r="AJ25" s="177">
        <f t="shared" si="6"/>
        <v>92.308130869011947</v>
      </c>
      <c r="AK25" s="177">
        <v>893.88</v>
      </c>
      <c r="AL25" s="177"/>
      <c r="AM25" s="177">
        <v>1774.62</v>
      </c>
      <c r="AN25" s="177">
        <f t="shared" si="7"/>
        <v>32054.605338353515</v>
      </c>
      <c r="AO25" s="177">
        <f t="shared" si="8"/>
        <v>3498.8138547638937</v>
      </c>
      <c r="AP25" s="177">
        <f t="shared" si="9"/>
        <v>123.38646194928104</v>
      </c>
      <c r="AQ25" s="177">
        <f>580910.04/15709.31*H25</f>
        <v>26898.314636097955</v>
      </c>
      <c r="AR25" s="177">
        <f>22138.85/15709.31*H25</f>
        <v>1025.1118279542511</v>
      </c>
      <c r="AS25" s="737">
        <f t="shared" si="12"/>
        <v>-13673.485873435042</v>
      </c>
      <c r="AT25" s="111"/>
      <c r="AU25" s="111"/>
      <c r="AV25" s="111"/>
      <c r="AW25" s="111"/>
      <c r="AX25" s="111"/>
      <c r="AY25" s="28"/>
      <c r="AZ25" s="46"/>
      <c r="BA25" s="46"/>
      <c r="BB25" s="46"/>
      <c r="BC25" s="28"/>
      <c r="BD25" s="28"/>
      <c r="BE25" s="47"/>
      <c r="BF25" s="47"/>
      <c r="BG25" s="47"/>
      <c r="BH25" s="48"/>
      <c r="BI25" s="47"/>
      <c r="BJ25" s="48"/>
      <c r="BK25" s="47"/>
      <c r="BL25" s="77"/>
      <c r="BM25" s="28"/>
      <c r="BN25" s="23"/>
    </row>
    <row r="26" spans="1:66" s="43" customFormat="1" x14ac:dyDescent="0.25">
      <c r="A26" s="519">
        <v>17</v>
      </c>
      <c r="B26" s="201"/>
      <c r="C26" s="164" t="s">
        <v>63</v>
      </c>
      <c r="D26" s="251">
        <v>1960</v>
      </c>
      <c r="E26" s="245">
        <v>2</v>
      </c>
      <c r="F26" s="245">
        <v>16</v>
      </c>
      <c r="G26" s="245">
        <v>44</v>
      </c>
      <c r="H26" s="246">
        <v>724.7</v>
      </c>
      <c r="I26" s="246">
        <v>834.72</v>
      </c>
      <c r="J26" s="246">
        <v>792.03</v>
      </c>
      <c r="K26" s="246"/>
      <c r="L26" s="246"/>
      <c r="M26" s="246">
        <v>525.41999999999996</v>
      </c>
      <c r="N26" s="246">
        <v>502.12</v>
      </c>
      <c r="O26" s="246">
        <v>3280</v>
      </c>
      <c r="P26" s="246">
        <v>3662.16</v>
      </c>
      <c r="Q26" s="246">
        <v>5797.6</v>
      </c>
      <c r="R26" s="246">
        <v>6152.84</v>
      </c>
      <c r="S26" s="246"/>
      <c r="T26" s="246"/>
      <c r="U26" s="176">
        <v>136040.68</v>
      </c>
      <c r="V26" s="176">
        <v>125700.95</v>
      </c>
      <c r="W26" s="176">
        <v>15943.4</v>
      </c>
      <c r="X26" s="176"/>
      <c r="Y26" s="176">
        <f t="shared" si="0"/>
        <v>120097.28</v>
      </c>
      <c r="Z26" s="176">
        <f t="shared" si="1"/>
        <v>110969.3232084403</v>
      </c>
      <c r="AA26" s="544">
        <f t="shared" si="2"/>
        <v>130535.02</v>
      </c>
      <c r="AB26" s="544">
        <f t="shared" si="3"/>
        <v>122078.47320844029</v>
      </c>
      <c r="AC26" s="743">
        <f t="shared" si="4"/>
        <v>145872.49388710252</v>
      </c>
      <c r="AD26" s="178">
        <v>4800</v>
      </c>
      <c r="AE26" s="176"/>
      <c r="AF26" s="177">
        <v>477.04</v>
      </c>
      <c r="AG26" s="177"/>
      <c r="AH26" s="177">
        <f t="shared" si="5"/>
        <v>57958.500819785724</v>
      </c>
      <c r="AI26" s="177">
        <v>13978.06</v>
      </c>
      <c r="AJ26" s="177">
        <f t="shared" si="6"/>
        <v>91.965496894106366</v>
      </c>
      <c r="AK26" s="177">
        <v>859.5</v>
      </c>
      <c r="AL26" s="177">
        <v>309.25</v>
      </c>
      <c r="AM26" s="177">
        <v>4034.02</v>
      </c>
      <c r="AN26" s="177">
        <f t="shared" si="7"/>
        <v>31935.623437867467</v>
      </c>
      <c r="AO26" s="177">
        <f t="shared" si="8"/>
        <v>3485.8267810659804</v>
      </c>
      <c r="AP26" s="177">
        <f t="shared" si="9"/>
        <v>122.92846985791033</v>
      </c>
      <c r="AQ26" s="177">
        <f>580910.04/15709.31*H26</f>
        <v>26798.472115452558</v>
      </c>
      <c r="AR26" s="177">
        <f>22138.85/15709.31*H26</f>
        <v>1021.3067661787818</v>
      </c>
      <c r="AS26" s="737">
        <f t="shared" si="12"/>
        <v>-15337.473887102518</v>
      </c>
      <c r="AT26" s="111"/>
      <c r="AU26" s="111"/>
      <c r="AV26" s="111"/>
      <c r="AW26" s="111"/>
      <c r="AX26" s="111"/>
      <c r="AY26" s="28"/>
      <c r="AZ26" s="46"/>
      <c r="BA26" s="46"/>
      <c r="BB26" s="46"/>
      <c r="BC26" s="28"/>
      <c r="BD26" s="28"/>
      <c r="BE26" s="47"/>
      <c r="BF26" s="47"/>
      <c r="BG26" s="47"/>
      <c r="BH26" s="48"/>
      <c r="BI26" s="47"/>
      <c r="BJ26" s="48"/>
      <c r="BK26" s="47"/>
      <c r="BL26" s="77"/>
      <c r="BM26" s="28"/>
      <c r="BN26" s="23"/>
    </row>
    <row r="27" spans="1:66" s="43" customFormat="1" x14ac:dyDescent="0.25">
      <c r="A27" s="519">
        <v>18</v>
      </c>
      <c r="B27" s="205">
        <v>42491</v>
      </c>
      <c r="C27" s="164" t="s">
        <v>64</v>
      </c>
      <c r="D27" s="251">
        <v>1961</v>
      </c>
      <c r="E27" s="245">
        <v>1</v>
      </c>
      <c r="F27" s="245">
        <v>1</v>
      </c>
      <c r="G27" s="245">
        <v>1</v>
      </c>
      <c r="H27" s="293">
        <v>44</v>
      </c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176">
        <v>4519.68</v>
      </c>
      <c r="V27" s="176">
        <v>12498.91</v>
      </c>
      <c r="W27" s="176"/>
      <c r="X27" s="176"/>
      <c r="Y27" s="176">
        <f t="shared" si="0"/>
        <v>4519.68</v>
      </c>
      <c r="Z27" s="176">
        <f t="shared" si="1"/>
        <v>12498.91</v>
      </c>
      <c r="AA27" s="544">
        <f t="shared" si="2"/>
        <v>4519.68</v>
      </c>
      <c r="AB27" s="544">
        <f t="shared" si="3"/>
        <v>12498.91</v>
      </c>
      <c r="AC27" s="743">
        <f t="shared" si="4"/>
        <v>6288.0002859676151</v>
      </c>
      <c r="AD27" s="178"/>
      <c r="AE27" s="176"/>
      <c r="AF27" s="177">
        <v>28.96</v>
      </c>
      <c r="AG27" s="177"/>
      <c r="AH27" s="177">
        <f t="shared" si="5"/>
        <v>3518.93754114885</v>
      </c>
      <c r="AI27" s="177">
        <v>567.07000000000005</v>
      </c>
      <c r="AJ27" s="177">
        <f t="shared" si="6"/>
        <v>5.583664776239381</v>
      </c>
      <c r="AK27" s="177"/>
      <c r="AL27" s="177"/>
      <c r="AM27" s="177">
        <v>9.3800000000000008</v>
      </c>
      <c r="AN27" s="177">
        <f t="shared" si="7"/>
        <v>1938.9643042171497</v>
      </c>
      <c r="AO27" s="177">
        <f t="shared" si="8"/>
        <v>211.64120100304004</v>
      </c>
      <c r="AP27" s="177">
        <f t="shared" si="9"/>
        <v>7.463574822337594</v>
      </c>
      <c r="AQ27" s="177"/>
      <c r="AR27" s="177"/>
      <c r="AS27" s="737">
        <f t="shared" si="12"/>
        <v>-1768.3202859676148</v>
      </c>
      <c r="AT27" s="111"/>
      <c r="AU27" s="111"/>
      <c r="AV27" s="111"/>
      <c r="AW27" s="111"/>
      <c r="AX27" s="111"/>
      <c r="AY27" s="28"/>
      <c r="AZ27" s="46"/>
      <c r="BA27" s="46"/>
      <c r="BB27" s="46"/>
      <c r="BC27" s="28"/>
      <c r="BD27" s="28"/>
      <c r="BE27" s="47"/>
      <c r="BF27" s="47"/>
      <c r="BG27" s="47"/>
      <c r="BH27" s="48"/>
      <c r="BI27" s="47"/>
      <c r="BJ27" s="23"/>
      <c r="BK27" s="47"/>
      <c r="BL27" s="77"/>
      <c r="BM27" s="28"/>
      <c r="BN27" s="23"/>
    </row>
    <row r="28" spans="1:66" s="43" customFormat="1" x14ac:dyDescent="0.25">
      <c r="A28" s="519">
        <v>19</v>
      </c>
      <c r="B28" s="205">
        <v>42491</v>
      </c>
      <c r="C28" s="164" t="s">
        <v>65</v>
      </c>
      <c r="D28" s="251">
        <v>1962</v>
      </c>
      <c r="E28" s="245">
        <v>1</v>
      </c>
      <c r="F28" s="245">
        <v>2</v>
      </c>
      <c r="G28" s="245">
        <v>6</v>
      </c>
      <c r="H28" s="293">
        <v>88</v>
      </c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176">
        <v>9039.36</v>
      </c>
      <c r="V28" s="176">
        <v>3122.66</v>
      </c>
      <c r="W28" s="176"/>
      <c r="X28" s="176"/>
      <c r="Y28" s="176">
        <f t="shared" si="0"/>
        <v>9039.36</v>
      </c>
      <c r="Z28" s="176">
        <f t="shared" si="1"/>
        <v>3122.66</v>
      </c>
      <c r="AA28" s="544">
        <f t="shared" si="2"/>
        <v>9039.36</v>
      </c>
      <c r="AB28" s="544">
        <f t="shared" si="3"/>
        <v>3122.66</v>
      </c>
      <c r="AC28" s="743">
        <f t="shared" si="4"/>
        <v>12576.00057193523</v>
      </c>
      <c r="AD28" s="178"/>
      <c r="AE28" s="176"/>
      <c r="AF28" s="177">
        <v>57.93</v>
      </c>
      <c r="AG28" s="177"/>
      <c r="AH28" s="177">
        <f t="shared" si="5"/>
        <v>7037.8750822976999</v>
      </c>
      <c r="AI28" s="177">
        <v>1134.1500000000001</v>
      </c>
      <c r="AJ28" s="177">
        <f t="shared" si="6"/>
        <v>11.167329552478762</v>
      </c>
      <c r="AK28" s="177"/>
      <c r="AL28" s="177"/>
      <c r="AM28" s="177">
        <v>18.739999999999998</v>
      </c>
      <c r="AN28" s="177">
        <f t="shared" si="7"/>
        <v>3877.9286084342993</v>
      </c>
      <c r="AO28" s="177">
        <f t="shared" si="8"/>
        <v>423.28240200608008</v>
      </c>
      <c r="AP28" s="177">
        <f t="shared" si="9"/>
        <v>14.927149644675188</v>
      </c>
      <c r="AQ28" s="177"/>
      <c r="AR28" s="177"/>
      <c r="AS28" s="737">
        <f t="shared" si="12"/>
        <v>-3536.6405719352297</v>
      </c>
      <c r="AT28" s="111"/>
      <c r="AU28" s="111"/>
      <c r="AV28" s="111"/>
      <c r="AW28" s="111"/>
      <c r="AX28" s="111"/>
      <c r="AY28" s="28"/>
      <c r="AZ28" s="46"/>
      <c r="BA28" s="46"/>
      <c r="BB28" s="46"/>
      <c r="BC28" s="28"/>
      <c r="BD28" s="28"/>
      <c r="BE28" s="47"/>
      <c r="BF28" s="47"/>
      <c r="BG28" s="47"/>
      <c r="BH28" s="48"/>
      <c r="BI28" s="47"/>
      <c r="BJ28" s="48"/>
      <c r="BK28" s="47"/>
      <c r="BL28" s="77"/>
      <c r="BM28" s="28"/>
      <c r="BN28" s="23"/>
    </row>
    <row r="29" spans="1:66" s="43" customFormat="1" x14ac:dyDescent="0.25">
      <c r="A29" s="519">
        <f>A28+1</f>
        <v>20</v>
      </c>
      <c r="B29" s="205">
        <v>42461</v>
      </c>
      <c r="C29" s="164" t="s">
        <v>66</v>
      </c>
      <c r="D29" s="251">
        <v>1964</v>
      </c>
      <c r="E29" s="245">
        <v>1</v>
      </c>
      <c r="F29" s="245">
        <v>4</v>
      </c>
      <c r="G29" s="245">
        <v>6</v>
      </c>
      <c r="H29" s="293">
        <v>102.7</v>
      </c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176">
        <v>10549.44</v>
      </c>
      <c r="V29" s="176">
        <v>9413.2000000000007</v>
      </c>
      <c r="W29" s="176"/>
      <c r="X29" s="176"/>
      <c r="Y29" s="176">
        <f t="shared" si="0"/>
        <v>10549.44</v>
      </c>
      <c r="Z29" s="176">
        <f t="shared" si="1"/>
        <v>9413.2000000000007</v>
      </c>
      <c r="AA29" s="544">
        <f t="shared" si="2"/>
        <v>10549.44</v>
      </c>
      <c r="AB29" s="544">
        <f t="shared" si="3"/>
        <v>9413.2000000000007</v>
      </c>
      <c r="AC29" s="743">
        <f t="shared" si="4"/>
        <v>14676.782326565324</v>
      </c>
      <c r="AD29" s="178"/>
      <c r="AE29" s="176"/>
      <c r="AF29" s="177">
        <v>67.599999999999994</v>
      </c>
      <c r="AG29" s="177"/>
      <c r="AH29" s="177">
        <f t="shared" si="5"/>
        <v>8213.5201244542477</v>
      </c>
      <c r="AI29" s="177">
        <v>1323.62</v>
      </c>
      <c r="AJ29" s="177">
        <f t="shared" si="6"/>
        <v>13.032781193631466</v>
      </c>
      <c r="AK29" s="177"/>
      <c r="AL29" s="177"/>
      <c r="AM29" s="177">
        <v>21.88</v>
      </c>
      <c r="AN29" s="177">
        <f t="shared" si="7"/>
        <v>4525.7189555250297</v>
      </c>
      <c r="AO29" s="177">
        <f t="shared" si="8"/>
        <v>493.98980325027759</v>
      </c>
      <c r="AP29" s="177">
        <f t="shared" si="9"/>
        <v>17.420662142137974</v>
      </c>
      <c r="AQ29" s="177"/>
      <c r="AR29" s="177"/>
      <c r="AS29" s="737">
        <f t="shared" si="12"/>
        <v>-4127.3423265653237</v>
      </c>
      <c r="AT29" s="111"/>
      <c r="AU29" s="111"/>
      <c r="AV29" s="111"/>
      <c r="AW29" s="111"/>
      <c r="AX29" s="111"/>
      <c r="AY29" s="28"/>
      <c r="AZ29" s="46"/>
      <c r="BA29" s="46"/>
      <c r="BB29" s="46"/>
      <c r="BC29" s="28"/>
      <c r="BD29" s="28"/>
      <c r="BE29" s="47"/>
      <c r="BF29" s="47"/>
      <c r="BG29" s="47"/>
      <c r="BH29" s="48"/>
      <c r="BI29" s="47"/>
      <c r="BJ29" s="48"/>
      <c r="BK29" s="47"/>
      <c r="BL29" s="77"/>
      <c r="BM29" s="28"/>
      <c r="BN29" s="23"/>
    </row>
    <row r="30" spans="1:66" s="43" customFormat="1" x14ac:dyDescent="0.25">
      <c r="A30" s="519">
        <v>21</v>
      </c>
      <c r="B30" s="205">
        <v>42491</v>
      </c>
      <c r="C30" s="164" t="s">
        <v>67</v>
      </c>
      <c r="D30" s="251">
        <v>1961</v>
      </c>
      <c r="E30" s="245">
        <v>1</v>
      </c>
      <c r="F30" s="245">
        <v>2</v>
      </c>
      <c r="G30" s="245">
        <v>4</v>
      </c>
      <c r="H30" s="293">
        <v>44</v>
      </c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176">
        <v>4519.68</v>
      </c>
      <c r="V30" s="176">
        <v>4519.68</v>
      </c>
      <c r="W30" s="176"/>
      <c r="X30" s="176"/>
      <c r="Y30" s="176">
        <f t="shared" si="0"/>
        <v>4519.68</v>
      </c>
      <c r="Z30" s="176">
        <f t="shared" si="1"/>
        <v>4519.68</v>
      </c>
      <c r="AA30" s="544">
        <f t="shared" si="2"/>
        <v>4519.68</v>
      </c>
      <c r="AB30" s="544">
        <f t="shared" si="3"/>
        <v>4519.68</v>
      </c>
      <c r="AC30" s="743">
        <f t="shared" si="4"/>
        <v>6288.0002859676151</v>
      </c>
      <c r="AD30" s="178"/>
      <c r="AE30" s="176"/>
      <c r="AF30" s="177">
        <v>28.96</v>
      </c>
      <c r="AG30" s="177"/>
      <c r="AH30" s="177">
        <f t="shared" si="5"/>
        <v>3518.93754114885</v>
      </c>
      <c r="AI30" s="177">
        <v>567.07000000000005</v>
      </c>
      <c r="AJ30" s="177">
        <f t="shared" si="6"/>
        <v>5.583664776239381</v>
      </c>
      <c r="AK30" s="177"/>
      <c r="AL30" s="177"/>
      <c r="AM30" s="177">
        <v>9.3800000000000008</v>
      </c>
      <c r="AN30" s="177">
        <f t="shared" si="7"/>
        <v>1938.9643042171497</v>
      </c>
      <c r="AO30" s="177">
        <f t="shared" si="8"/>
        <v>211.64120100304004</v>
      </c>
      <c r="AP30" s="177">
        <f t="shared" si="9"/>
        <v>7.463574822337594</v>
      </c>
      <c r="AQ30" s="177"/>
      <c r="AR30" s="177"/>
      <c r="AS30" s="737">
        <f t="shared" si="12"/>
        <v>-1768.3202859676148</v>
      </c>
      <c r="AT30" s="111"/>
      <c r="AU30" s="111"/>
      <c r="AV30" s="111"/>
      <c r="AW30" s="111"/>
      <c r="AX30" s="111"/>
      <c r="AY30" s="28"/>
      <c r="AZ30" s="46"/>
      <c r="BA30" s="46"/>
      <c r="BB30" s="46"/>
      <c r="BC30" s="28"/>
      <c r="BD30" s="28"/>
      <c r="BE30" s="47"/>
      <c r="BF30" s="47"/>
      <c r="BG30" s="47"/>
      <c r="BH30" s="48"/>
      <c r="BI30" s="47"/>
      <c r="BJ30" s="47"/>
      <c r="BK30" s="47"/>
      <c r="BL30" s="77"/>
      <c r="BM30" s="28"/>
      <c r="BN30" s="23"/>
    </row>
    <row r="31" spans="1:66" s="43" customFormat="1" x14ac:dyDescent="0.25">
      <c r="A31" s="519">
        <v>22</v>
      </c>
      <c r="B31" s="205">
        <v>42461</v>
      </c>
      <c r="C31" s="164" t="s">
        <v>68</v>
      </c>
      <c r="D31" s="251">
        <v>1961</v>
      </c>
      <c r="E31" s="245">
        <v>1</v>
      </c>
      <c r="F31" s="245">
        <v>2</v>
      </c>
      <c r="G31" s="245">
        <v>4</v>
      </c>
      <c r="H31" s="293">
        <v>108.1</v>
      </c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176">
        <v>11104.08</v>
      </c>
      <c r="V31" s="176">
        <v>10958.53</v>
      </c>
      <c r="W31" s="176"/>
      <c r="X31" s="176"/>
      <c r="Y31" s="176">
        <f t="shared" si="0"/>
        <v>11104.08</v>
      </c>
      <c r="Z31" s="176">
        <f t="shared" si="1"/>
        <v>10958.53</v>
      </c>
      <c r="AA31" s="544">
        <f t="shared" si="2"/>
        <v>11104.08</v>
      </c>
      <c r="AB31" s="544">
        <f t="shared" si="3"/>
        <v>10958.53</v>
      </c>
      <c r="AC31" s="743">
        <f t="shared" si="4"/>
        <v>15448.43113438862</v>
      </c>
      <c r="AD31" s="178"/>
      <c r="AE31" s="176"/>
      <c r="AF31" s="177">
        <v>71.16</v>
      </c>
      <c r="AG31" s="177"/>
      <c r="AH31" s="177">
        <f t="shared" si="5"/>
        <v>8645.3897317770607</v>
      </c>
      <c r="AI31" s="177">
        <v>1393.15</v>
      </c>
      <c r="AJ31" s="177">
        <f t="shared" si="6"/>
        <v>13.718049143442661</v>
      </c>
      <c r="AK31" s="177"/>
      <c r="AL31" s="177"/>
      <c r="AM31" s="177">
        <v>23.03</v>
      </c>
      <c r="AN31" s="177">
        <f t="shared" si="7"/>
        <v>4763.6827564971336</v>
      </c>
      <c r="AO31" s="177">
        <f t="shared" si="8"/>
        <v>519.96395064610522</v>
      </c>
      <c r="AP31" s="177">
        <f t="shared" si="9"/>
        <v>18.336646324879407</v>
      </c>
      <c r="AQ31" s="177"/>
      <c r="AR31" s="177"/>
      <c r="AS31" s="737">
        <f t="shared" si="12"/>
        <v>-4344.3511343886203</v>
      </c>
      <c r="AT31" s="111"/>
      <c r="AU31" s="111"/>
      <c r="AV31" s="111"/>
      <c r="AW31" s="111"/>
      <c r="AX31" s="111"/>
      <c r="AY31" s="28"/>
      <c r="AZ31" s="46"/>
      <c r="BA31" s="46"/>
      <c r="BB31" s="46"/>
      <c r="BC31" s="28"/>
      <c r="BD31" s="28"/>
      <c r="BE31" s="47"/>
      <c r="BF31" s="47"/>
      <c r="BG31" s="47"/>
      <c r="BH31" s="48"/>
      <c r="BI31" s="47"/>
      <c r="BJ31" s="47"/>
      <c r="BK31" s="47"/>
      <c r="BL31" s="77"/>
      <c r="BM31" s="28"/>
      <c r="BN31" s="23"/>
    </row>
    <row r="32" spans="1:66" s="43" customFormat="1" x14ac:dyDescent="0.25">
      <c r="A32" s="519">
        <v>23</v>
      </c>
      <c r="B32" s="201"/>
      <c r="C32" s="164" t="s">
        <v>69</v>
      </c>
      <c r="D32" s="251">
        <v>1961</v>
      </c>
      <c r="E32" s="245">
        <v>1</v>
      </c>
      <c r="F32" s="245">
        <v>2</v>
      </c>
      <c r="G32" s="245">
        <v>13</v>
      </c>
      <c r="H32" s="293">
        <v>102.4</v>
      </c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176">
        <v>10518.48</v>
      </c>
      <c r="V32" s="176">
        <v>11271.76</v>
      </c>
      <c r="W32" s="176"/>
      <c r="X32" s="176"/>
      <c r="Y32" s="176">
        <f t="shared" si="0"/>
        <v>10518.48</v>
      </c>
      <c r="Z32" s="176">
        <f t="shared" si="1"/>
        <v>11271.76</v>
      </c>
      <c r="AA32" s="544">
        <f t="shared" si="2"/>
        <v>10518.48</v>
      </c>
      <c r="AB32" s="544">
        <f t="shared" si="3"/>
        <v>11271.76</v>
      </c>
      <c r="AC32" s="743">
        <f t="shared" si="4"/>
        <v>14633.967392797364</v>
      </c>
      <c r="AD32" s="178"/>
      <c r="AE32" s="176"/>
      <c r="AF32" s="177">
        <v>67.41</v>
      </c>
      <c r="AG32" s="177"/>
      <c r="AH32" s="177">
        <f t="shared" si="5"/>
        <v>8189.5273684918693</v>
      </c>
      <c r="AI32" s="177">
        <v>1319.8</v>
      </c>
      <c r="AJ32" s="177">
        <f t="shared" si="6"/>
        <v>12.994710751975289</v>
      </c>
      <c r="AK32" s="177"/>
      <c r="AL32" s="177"/>
      <c r="AM32" s="177">
        <v>21.82</v>
      </c>
      <c r="AN32" s="177">
        <f t="shared" si="7"/>
        <v>4512.4987443599121</v>
      </c>
      <c r="AO32" s="177">
        <f t="shared" si="8"/>
        <v>492.54679506162051</v>
      </c>
      <c r="AP32" s="177">
        <f t="shared" si="9"/>
        <v>17.369774131985675</v>
      </c>
      <c r="AQ32" s="177"/>
      <c r="AR32" s="177"/>
      <c r="AS32" s="737">
        <f t="shared" si="12"/>
        <v>-4115.487392797364</v>
      </c>
      <c r="AT32" s="111"/>
      <c r="AU32" s="111"/>
      <c r="AV32" s="111"/>
      <c r="AW32" s="111"/>
      <c r="AX32" s="111"/>
      <c r="AY32" s="28"/>
      <c r="AZ32" s="46"/>
      <c r="BA32" s="46"/>
      <c r="BB32" s="46"/>
      <c r="BC32" s="28"/>
      <c r="BD32" s="28"/>
      <c r="BE32" s="47"/>
      <c r="BF32" s="47"/>
      <c r="BG32" s="47"/>
      <c r="BH32" s="48"/>
      <c r="BI32" s="47"/>
      <c r="BJ32" s="47"/>
      <c r="BK32" s="47"/>
      <c r="BL32" s="77"/>
      <c r="BM32" s="28"/>
      <c r="BN32" s="23"/>
    </row>
    <row r="33" spans="1:66" s="43" customFormat="1" x14ac:dyDescent="0.25">
      <c r="A33" s="519">
        <v>24</v>
      </c>
      <c r="B33" s="205">
        <v>42461</v>
      </c>
      <c r="C33" s="164" t="s">
        <v>70</v>
      </c>
      <c r="D33" s="251">
        <v>1962</v>
      </c>
      <c r="E33" s="245">
        <v>1</v>
      </c>
      <c r="F33" s="245">
        <v>2</v>
      </c>
      <c r="G33" s="245">
        <v>6</v>
      </c>
      <c r="H33" s="293">
        <v>85.7</v>
      </c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176">
        <v>8803.08</v>
      </c>
      <c r="V33" s="176">
        <v>8803.08</v>
      </c>
      <c r="W33" s="176"/>
      <c r="X33" s="176"/>
      <c r="Y33" s="176">
        <f t="shared" si="0"/>
        <v>8803.08</v>
      </c>
      <c r="Z33" s="176">
        <f t="shared" si="1"/>
        <v>8803.08</v>
      </c>
      <c r="AA33" s="544">
        <f t="shared" si="2"/>
        <v>8803.08</v>
      </c>
      <c r="AB33" s="544">
        <f t="shared" si="3"/>
        <v>8803.08</v>
      </c>
      <c r="AC33" s="743">
        <f t="shared" si="4"/>
        <v>12247.326079714199</v>
      </c>
      <c r="AD33" s="178"/>
      <c r="AE33" s="176"/>
      <c r="AF33" s="177">
        <v>56.41</v>
      </c>
      <c r="AG33" s="177"/>
      <c r="AH33" s="177">
        <f t="shared" si="5"/>
        <v>6853.9306199194652</v>
      </c>
      <c r="AI33" s="177">
        <v>1104.52</v>
      </c>
      <c r="AJ33" s="177">
        <f t="shared" si="6"/>
        <v>10.875456166448068</v>
      </c>
      <c r="AK33" s="177"/>
      <c r="AL33" s="177"/>
      <c r="AM33" s="177">
        <v>18.260000000000002</v>
      </c>
      <c r="AN33" s="177">
        <f t="shared" si="7"/>
        <v>3776.5736561684034</v>
      </c>
      <c r="AO33" s="177">
        <f t="shared" si="8"/>
        <v>412.21933922637572</v>
      </c>
      <c r="AP33" s="177">
        <f t="shared" si="9"/>
        <v>14.537008233507541</v>
      </c>
      <c r="AQ33" s="177"/>
      <c r="AR33" s="177"/>
      <c r="AS33" s="737">
        <f t="shared" si="12"/>
        <v>-3444.2460797141994</v>
      </c>
      <c r="AT33" s="111"/>
      <c r="AU33" s="111"/>
      <c r="AV33" s="111"/>
      <c r="AW33" s="111"/>
      <c r="AX33" s="111"/>
      <c r="AY33" s="28"/>
      <c r="AZ33" s="46"/>
      <c r="BA33" s="46"/>
      <c r="BB33" s="46"/>
      <c r="BC33" s="28"/>
      <c r="BD33" s="28"/>
      <c r="BE33" s="47"/>
      <c r="BF33" s="47"/>
      <c r="BG33" s="47"/>
      <c r="BH33" s="48"/>
      <c r="BI33" s="47"/>
      <c r="BJ33" s="47"/>
      <c r="BK33" s="47"/>
      <c r="BL33" s="77"/>
      <c r="BM33" s="28"/>
      <c r="BN33" s="23"/>
    </row>
    <row r="34" spans="1:66" s="43" customFormat="1" x14ac:dyDescent="0.25">
      <c r="A34" s="519">
        <v>25</v>
      </c>
      <c r="B34" s="205">
        <v>42491</v>
      </c>
      <c r="C34" s="164" t="s">
        <v>71</v>
      </c>
      <c r="D34" s="251">
        <v>1940</v>
      </c>
      <c r="E34" s="245">
        <v>1</v>
      </c>
      <c r="F34" s="245">
        <v>1</v>
      </c>
      <c r="G34" s="245">
        <v>4</v>
      </c>
      <c r="H34" s="293">
        <v>53.56</v>
      </c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176">
        <v>2371.6799999999998</v>
      </c>
      <c r="V34" s="176">
        <v>2662.6</v>
      </c>
      <c r="W34" s="176"/>
      <c r="X34" s="176"/>
      <c r="Y34" s="176">
        <f t="shared" si="0"/>
        <v>2371.6799999999998</v>
      </c>
      <c r="Z34" s="176">
        <f t="shared" si="1"/>
        <v>2662.6</v>
      </c>
      <c r="AA34" s="544">
        <f t="shared" si="2"/>
        <v>2371.6799999999998</v>
      </c>
      <c r="AB34" s="544">
        <f t="shared" si="3"/>
        <v>2662.6</v>
      </c>
      <c r="AC34" s="743">
        <f t="shared" si="4"/>
        <v>7654.2321753733095</v>
      </c>
      <c r="AD34" s="178"/>
      <c r="AE34" s="176"/>
      <c r="AF34" s="177">
        <v>35.26</v>
      </c>
      <c r="AG34" s="177"/>
      <c r="AH34" s="177">
        <f t="shared" si="5"/>
        <v>4283.506697816646</v>
      </c>
      <c r="AI34" s="177">
        <v>690.3</v>
      </c>
      <c r="AJ34" s="177">
        <f t="shared" si="6"/>
        <v>6.7968428503495746</v>
      </c>
      <c r="AK34" s="177"/>
      <c r="AL34" s="177"/>
      <c r="AM34" s="177">
        <v>11.41</v>
      </c>
      <c r="AN34" s="177">
        <f t="shared" si="7"/>
        <v>2360.2483666788762</v>
      </c>
      <c r="AO34" s="177">
        <f t="shared" si="8"/>
        <v>257.62506194824601</v>
      </c>
      <c r="AP34" s="177">
        <f t="shared" si="9"/>
        <v>9.0852060791909448</v>
      </c>
      <c r="AQ34" s="177"/>
      <c r="AR34" s="177"/>
      <c r="AS34" s="737">
        <f t="shared" si="12"/>
        <v>-5282.5521753733101</v>
      </c>
      <c r="AT34" s="111"/>
      <c r="AU34" s="111"/>
      <c r="AV34" s="111"/>
      <c r="AW34" s="111"/>
      <c r="AX34" s="111"/>
      <c r="AY34" s="28"/>
      <c r="AZ34" s="46"/>
      <c r="BA34" s="46"/>
      <c r="BB34" s="46"/>
      <c r="BC34" s="28"/>
      <c r="BD34" s="28"/>
      <c r="BE34" s="47"/>
      <c r="BF34" s="47"/>
      <c r="BG34" s="47"/>
      <c r="BH34" s="48"/>
      <c r="BI34" s="47"/>
      <c r="BJ34" s="47"/>
      <c r="BK34" s="47"/>
      <c r="BL34" s="77"/>
      <c r="BM34" s="28"/>
      <c r="BN34" s="23"/>
    </row>
    <row r="35" spans="1:66" s="43" customFormat="1" x14ac:dyDescent="0.25">
      <c r="A35" s="519">
        <v>26</v>
      </c>
      <c r="B35" s="205">
        <v>42491</v>
      </c>
      <c r="C35" s="164" t="s">
        <v>72</v>
      </c>
      <c r="D35" s="251">
        <v>1963</v>
      </c>
      <c r="E35" s="245">
        <v>1</v>
      </c>
      <c r="F35" s="245">
        <v>2</v>
      </c>
      <c r="G35" s="245">
        <v>8</v>
      </c>
      <c r="H35" s="293">
        <v>88</v>
      </c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176">
        <v>9563.2800000000007</v>
      </c>
      <c r="V35" s="176">
        <v>9519.6200000000008</v>
      </c>
      <c r="W35" s="176"/>
      <c r="X35" s="176"/>
      <c r="Y35" s="176">
        <f t="shared" si="0"/>
        <v>9563.2800000000007</v>
      </c>
      <c r="Z35" s="176">
        <f t="shared" si="1"/>
        <v>9519.6200000000008</v>
      </c>
      <c r="AA35" s="544">
        <f t="shared" si="2"/>
        <v>9563.2800000000007</v>
      </c>
      <c r="AB35" s="544">
        <f t="shared" si="3"/>
        <v>9519.6200000000008</v>
      </c>
      <c r="AC35" s="743">
        <f t="shared" si="4"/>
        <v>12634.100571935232</v>
      </c>
      <c r="AD35" s="178"/>
      <c r="AE35" s="176"/>
      <c r="AF35" s="177">
        <v>57.93</v>
      </c>
      <c r="AG35" s="177"/>
      <c r="AH35" s="177">
        <f t="shared" si="5"/>
        <v>7037.8750822976999</v>
      </c>
      <c r="AI35" s="177">
        <v>1192.25</v>
      </c>
      <c r="AJ35" s="177">
        <f t="shared" si="6"/>
        <v>11.167329552478762</v>
      </c>
      <c r="AK35" s="177"/>
      <c r="AL35" s="177"/>
      <c r="AM35" s="177">
        <v>18.739999999999998</v>
      </c>
      <c r="AN35" s="177">
        <f t="shared" si="7"/>
        <v>3877.9286084342993</v>
      </c>
      <c r="AO35" s="177">
        <f t="shared" si="8"/>
        <v>423.28240200608008</v>
      </c>
      <c r="AP35" s="177">
        <f t="shared" si="9"/>
        <v>14.927149644675188</v>
      </c>
      <c r="AQ35" s="177"/>
      <c r="AR35" s="177"/>
      <c r="AS35" s="737">
        <f t="shared" si="12"/>
        <v>-3070.8205719352318</v>
      </c>
      <c r="AT35" s="111"/>
      <c r="AU35" s="111"/>
      <c r="AV35" s="111"/>
      <c r="AW35" s="111"/>
      <c r="AX35" s="111"/>
      <c r="AY35" s="28"/>
      <c r="AZ35" s="46"/>
      <c r="BA35" s="46"/>
      <c r="BB35" s="46"/>
      <c r="BC35" s="28"/>
      <c r="BD35" s="28"/>
      <c r="BE35" s="47"/>
      <c r="BF35" s="47"/>
      <c r="BG35" s="47"/>
      <c r="BH35" s="48"/>
      <c r="BI35" s="47"/>
      <c r="BJ35" s="47"/>
      <c r="BK35" s="47"/>
      <c r="BL35" s="77"/>
      <c r="BM35" s="28"/>
      <c r="BN35" s="23"/>
    </row>
    <row r="36" spans="1:66" s="43" customFormat="1" ht="13.5" customHeight="1" x14ac:dyDescent="0.25">
      <c r="A36" s="519">
        <v>27</v>
      </c>
      <c r="B36" s="205">
        <v>42491</v>
      </c>
      <c r="C36" s="164" t="s">
        <v>73</v>
      </c>
      <c r="D36" s="251">
        <v>1962</v>
      </c>
      <c r="E36" s="245">
        <v>1</v>
      </c>
      <c r="F36" s="245">
        <v>1</v>
      </c>
      <c r="G36" s="245">
        <v>2</v>
      </c>
      <c r="H36" s="293">
        <v>44</v>
      </c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176">
        <v>4519.68</v>
      </c>
      <c r="V36" s="176">
        <v>4143.04</v>
      </c>
      <c r="W36" s="176"/>
      <c r="X36" s="176"/>
      <c r="Y36" s="176">
        <f t="shared" si="0"/>
        <v>4519.68</v>
      </c>
      <c r="Z36" s="176">
        <f t="shared" si="1"/>
        <v>4143.04</v>
      </c>
      <c r="AA36" s="544">
        <f t="shared" si="2"/>
        <v>4519.68</v>
      </c>
      <c r="AB36" s="544">
        <f t="shared" si="3"/>
        <v>4143.04</v>
      </c>
      <c r="AC36" s="743">
        <f t="shared" si="4"/>
        <v>6287.9802859676147</v>
      </c>
      <c r="AD36" s="178"/>
      <c r="AE36" s="176"/>
      <c r="AF36" s="177">
        <v>28.96</v>
      </c>
      <c r="AG36" s="177"/>
      <c r="AH36" s="177">
        <f t="shared" si="5"/>
        <v>3518.93754114885</v>
      </c>
      <c r="AI36" s="177">
        <v>567.07000000000005</v>
      </c>
      <c r="AJ36" s="177">
        <f t="shared" si="6"/>
        <v>5.583664776239381</v>
      </c>
      <c r="AK36" s="177"/>
      <c r="AL36" s="177"/>
      <c r="AM36" s="177">
        <v>9.36</v>
      </c>
      <c r="AN36" s="177">
        <f t="shared" si="7"/>
        <v>1938.9643042171497</v>
      </c>
      <c r="AO36" s="177">
        <f t="shared" si="8"/>
        <v>211.64120100304004</v>
      </c>
      <c r="AP36" s="177">
        <f t="shared" si="9"/>
        <v>7.463574822337594</v>
      </c>
      <c r="AQ36" s="177"/>
      <c r="AR36" s="177"/>
      <c r="AS36" s="737">
        <f t="shared" si="12"/>
        <v>-1768.3002859676144</v>
      </c>
      <c r="AT36" s="111"/>
      <c r="AU36" s="111"/>
      <c r="AV36" s="111"/>
      <c r="AW36" s="111"/>
      <c r="AX36" s="111"/>
      <c r="AY36" s="28"/>
      <c r="AZ36" s="46"/>
      <c r="BA36" s="46"/>
      <c r="BB36" s="46"/>
      <c r="BC36" s="28"/>
      <c r="BD36" s="28"/>
      <c r="BE36" s="47"/>
      <c r="BF36" s="47"/>
      <c r="BG36" s="47"/>
      <c r="BH36" s="48"/>
      <c r="BI36" s="47"/>
      <c r="BJ36" s="47"/>
      <c r="BK36" s="47"/>
      <c r="BL36" s="77"/>
      <c r="BM36" s="28"/>
      <c r="BN36" s="23"/>
    </row>
    <row r="37" spans="1:66" s="43" customFormat="1" x14ac:dyDescent="0.25">
      <c r="A37" s="519">
        <v>28</v>
      </c>
      <c r="B37" s="205">
        <v>42491</v>
      </c>
      <c r="C37" s="164" t="s">
        <v>74</v>
      </c>
      <c r="D37" s="251">
        <v>1943</v>
      </c>
      <c r="E37" s="245">
        <v>1</v>
      </c>
      <c r="F37" s="245">
        <v>2</v>
      </c>
      <c r="G37" s="245">
        <v>4</v>
      </c>
      <c r="H37" s="293">
        <v>31.3</v>
      </c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176">
        <v>1386</v>
      </c>
      <c r="V37" s="176">
        <v>1366.09</v>
      </c>
      <c r="W37" s="176"/>
      <c r="X37" s="176"/>
      <c r="Y37" s="176">
        <f t="shared" si="0"/>
        <v>1386</v>
      </c>
      <c r="Z37" s="176">
        <f t="shared" si="1"/>
        <v>1366.09</v>
      </c>
      <c r="AA37" s="544">
        <f t="shared" si="2"/>
        <v>1386</v>
      </c>
      <c r="AB37" s="544">
        <f t="shared" si="3"/>
        <v>1366.09</v>
      </c>
      <c r="AC37" s="743">
        <f t="shared" si="4"/>
        <v>4473.0380897905998</v>
      </c>
      <c r="AD37" s="178"/>
      <c r="AE37" s="176"/>
      <c r="AF37" s="177">
        <v>20.6</v>
      </c>
      <c r="AG37" s="177"/>
      <c r="AH37" s="177">
        <f t="shared" si="5"/>
        <v>2503.2442054081594</v>
      </c>
      <c r="AI37" s="177">
        <v>403.38</v>
      </c>
      <c r="AJ37" s="177">
        <f t="shared" si="6"/>
        <v>3.9720160794611963</v>
      </c>
      <c r="AK37" s="177"/>
      <c r="AL37" s="177"/>
      <c r="AM37" s="177">
        <v>6.67</v>
      </c>
      <c r="AN37" s="177">
        <f t="shared" si="7"/>
        <v>1379.3086982271998</v>
      </c>
      <c r="AO37" s="177">
        <f t="shared" si="8"/>
        <v>150.55385434988986</v>
      </c>
      <c r="AP37" s="177">
        <f t="shared" si="9"/>
        <v>5.3093157258901522</v>
      </c>
      <c r="AQ37" s="177"/>
      <c r="AR37" s="177"/>
      <c r="AS37" s="737">
        <f t="shared" si="12"/>
        <v>-3087.0380897905998</v>
      </c>
      <c r="AT37" s="111"/>
      <c r="AU37" s="111"/>
      <c r="AV37" s="111"/>
      <c r="AW37" s="111"/>
      <c r="AX37" s="111"/>
      <c r="AY37" s="28"/>
      <c r="AZ37" s="46"/>
      <c r="BA37" s="46"/>
      <c r="BB37" s="46"/>
      <c r="BC37" s="28"/>
      <c r="BD37" s="28"/>
      <c r="BE37" s="47"/>
      <c r="BF37" s="47"/>
      <c r="BG37" s="47"/>
      <c r="BH37" s="48"/>
      <c r="BI37" s="47"/>
      <c r="BJ37" s="47"/>
      <c r="BK37" s="47"/>
      <c r="BL37" s="77"/>
      <c r="BM37" s="28"/>
      <c r="BN37" s="23"/>
    </row>
    <row r="38" spans="1:66" s="43" customFormat="1" x14ac:dyDescent="0.25">
      <c r="A38" s="519">
        <v>29</v>
      </c>
      <c r="B38" s="205">
        <v>42461</v>
      </c>
      <c r="C38" s="164" t="s">
        <v>75</v>
      </c>
      <c r="D38" s="251">
        <v>1943</v>
      </c>
      <c r="E38" s="245">
        <v>1</v>
      </c>
      <c r="F38" s="245">
        <v>1</v>
      </c>
      <c r="G38" s="245">
        <v>1</v>
      </c>
      <c r="H38" s="293">
        <v>22</v>
      </c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176">
        <v>1636.8</v>
      </c>
      <c r="V38" s="176">
        <v>682</v>
      </c>
      <c r="W38" s="176"/>
      <c r="X38" s="176"/>
      <c r="Y38" s="176">
        <f t="shared" si="0"/>
        <v>1636.8</v>
      </c>
      <c r="Z38" s="176">
        <f t="shared" si="1"/>
        <v>682</v>
      </c>
      <c r="AA38" s="544">
        <f t="shared" si="2"/>
        <v>1636.8</v>
      </c>
      <c r="AB38" s="544">
        <f t="shared" si="3"/>
        <v>682</v>
      </c>
      <c r="AC38" s="743">
        <f t="shared" si="4"/>
        <v>3143.9951429838075</v>
      </c>
      <c r="AD38" s="178"/>
      <c r="AE38" s="176"/>
      <c r="AF38" s="177">
        <v>14.48</v>
      </c>
      <c r="AG38" s="177"/>
      <c r="AH38" s="177">
        <f t="shared" si="5"/>
        <v>1759.468770574425</v>
      </c>
      <c r="AI38" s="177">
        <v>283.54000000000002</v>
      </c>
      <c r="AJ38" s="177">
        <f t="shared" si="6"/>
        <v>2.7918323881196905</v>
      </c>
      <c r="AK38" s="177"/>
      <c r="AL38" s="177"/>
      <c r="AM38" s="177">
        <v>4.68</v>
      </c>
      <c r="AN38" s="177">
        <f t="shared" si="7"/>
        <v>969.48215210857484</v>
      </c>
      <c r="AO38" s="177">
        <f t="shared" si="8"/>
        <v>105.82060050152002</v>
      </c>
      <c r="AP38" s="177">
        <f t="shared" si="9"/>
        <v>3.731787411168797</v>
      </c>
      <c r="AQ38" s="177"/>
      <c r="AR38" s="177"/>
      <c r="AS38" s="737">
        <f t="shared" si="12"/>
        <v>-1507.1951429838075</v>
      </c>
      <c r="AT38" s="111"/>
      <c r="AU38" s="111"/>
      <c r="AV38" s="111"/>
      <c r="AW38" s="111"/>
      <c r="AX38" s="111"/>
      <c r="AY38" s="28"/>
      <c r="AZ38" s="46"/>
      <c r="BA38" s="46"/>
      <c r="BB38" s="46"/>
      <c r="BC38" s="28"/>
      <c r="BD38" s="28"/>
      <c r="BE38" s="47"/>
      <c r="BF38" s="47"/>
      <c r="BG38" s="47"/>
      <c r="BH38" s="48"/>
      <c r="BI38" s="47"/>
      <c r="BJ38" s="47"/>
      <c r="BK38" s="47"/>
      <c r="BL38" s="77"/>
      <c r="BM38" s="28"/>
      <c r="BN38" s="23"/>
    </row>
    <row r="39" spans="1:66" s="43" customFormat="1" x14ac:dyDescent="0.25">
      <c r="A39" s="520">
        <v>30</v>
      </c>
      <c r="B39" s="521"/>
      <c r="C39" s="165" t="s">
        <v>76</v>
      </c>
      <c r="D39" s="256">
        <v>1969</v>
      </c>
      <c r="E39" s="297">
        <v>2</v>
      </c>
      <c r="F39" s="297">
        <v>16</v>
      </c>
      <c r="G39" s="297">
        <v>34</v>
      </c>
      <c r="H39" s="257">
        <v>649.16</v>
      </c>
      <c r="I39" s="257">
        <v>868.86</v>
      </c>
      <c r="J39" s="257">
        <v>921.65</v>
      </c>
      <c r="K39" s="257"/>
      <c r="L39" s="257"/>
      <c r="M39" s="257">
        <v>546.78</v>
      </c>
      <c r="N39" s="257">
        <v>566.83000000000004</v>
      </c>
      <c r="O39" s="257"/>
      <c r="P39" s="257"/>
      <c r="Q39" s="257"/>
      <c r="R39" s="257"/>
      <c r="S39" s="257"/>
      <c r="T39" s="257"/>
      <c r="U39" s="181">
        <v>97723.24</v>
      </c>
      <c r="V39" s="181">
        <v>95633.3</v>
      </c>
      <c r="W39" s="181">
        <v>14226.52</v>
      </c>
      <c r="X39" s="181"/>
      <c r="Y39" s="176">
        <f t="shared" si="0"/>
        <v>83496.72</v>
      </c>
      <c r="Z39" s="176">
        <f t="shared" si="1"/>
        <v>81711.032839025807</v>
      </c>
      <c r="AA39" s="544">
        <f t="shared" si="2"/>
        <v>84912.36</v>
      </c>
      <c r="AB39" s="544">
        <f t="shared" si="3"/>
        <v>83199.512839025803</v>
      </c>
      <c r="AC39" s="743">
        <f t="shared" si="4"/>
        <v>98774.490682698568</v>
      </c>
      <c r="AD39" s="182"/>
      <c r="AE39" s="176"/>
      <c r="AF39" s="177">
        <v>425.68</v>
      </c>
      <c r="AG39" s="183"/>
      <c r="AH39" s="177">
        <f t="shared" si="5"/>
        <v>51917.124868458806</v>
      </c>
      <c r="AI39" s="183">
        <v>12472.74</v>
      </c>
      <c r="AJ39" s="177">
        <f t="shared" si="6"/>
        <v>82.379359685080829</v>
      </c>
      <c r="AK39" s="177">
        <v>893.88</v>
      </c>
      <c r="AL39" s="177">
        <v>323.52999999999997</v>
      </c>
      <c r="AM39" s="177">
        <v>819.79</v>
      </c>
      <c r="AN39" s="177">
        <f t="shared" si="7"/>
        <v>28606.774266491022</v>
      </c>
      <c r="AO39" s="177">
        <f t="shared" si="8"/>
        <v>3122.4773191621243</v>
      </c>
      <c r="AP39" s="177">
        <f t="shared" si="9"/>
        <v>110.11486890156073</v>
      </c>
      <c r="AQ39" s="177"/>
      <c r="AR39" s="177"/>
      <c r="AS39" s="737">
        <f t="shared" si="12"/>
        <v>-13862.130682698567</v>
      </c>
      <c r="AT39" s="111"/>
      <c r="AU39" s="111"/>
      <c r="AV39" s="111"/>
      <c r="AW39" s="111"/>
      <c r="AX39" s="111"/>
      <c r="AY39" s="28"/>
      <c r="AZ39" s="46"/>
      <c r="BA39" s="46"/>
      <c r="BB39" s="46"/>
      <c r="BC39" s="28"/>
      <c r="BD39" s="28"/>
      <c r="BE39" s="47"/>
      <c r="BF39" s="47"/>
      <c r="BG39" s="47"/>
      <c r="BH39" s="48"/>
      <c r="BI39" s="47"/>
      <c r="BJ39" s="48"/>
      <c r="BK39" s="47"/>
      <c r="BL39" s="77"/>
      <c r="BM39" s="28"/>
      <c r="BN39" s="23"/>
    </row>
    <row r="40" spans="1:66" s="27" customFormat="1" x14ac:dyDescent="0.25">
      <c r="A40" s="151"/>
      <c r="B40" s="151"/>
      <c r="C40" s="184" t="s">
        <v>77</v>
      </c>
      <c r="D40" s="298"/>
      <c r="E40" s="523">
        <f t="shared" ref="E40:J40" si="13">SUM(E10:E39)</f>
        <v>52</v>
      </c>
      <c r="F40" s="523">
        <f t="shared" si="13"/>
        <v>335</v>
      </c>
      <c r="G40" s="523">
        <f t="shared" si="13"/>
        <v>1032</v>
      </c>
      <c r="H40" s="523">
        <f>SUM(H10:H39)</f>
        <v>17391.130000000005</v>
      </c>
      <c r="I40" s="523">
        <f t="shared" si="13"/>
        <v>4791.1799999999994</v>
      </c>
      <c r="J40" s="523">
        <f t="shared" si="13"/>
        <v>5064.079999999999</v>
      </c>
      <c r="K40" s="523">
        <f t="shared" ref="K40:P40" si="14">SUM(K10:K39)</f>
        <v>42728.05</v>
      </c>
      <c r="L40" s="523">
        <f t="shared" si="14"/>
        <v>45316.929999999993</v>
      </c>
      <c r="M40" s="523">
        <f t="shared" si="14"/>
        <v>6263.6399999999994</v>
      </c>
      <c r="N40" s="523">
        <f t="shared" si="14"/>
        <v>6396.0300000000007</v>
      </c>
      <c r="O40" s="523">
        <f t="shared" si="14"/>
        <v>72365.279999999999</v>
      </c>
      <c r="P40" s="523">
        <f t="shared" si="14"/>
        <v>76820.040000000008</v>
      </c>
      <c r="Q40" s="523">
        <f t="shared" ref="Q40:X40" si="15">SUM(Q10:Q39)</f>
        <v>125602.65000000001</v>
      </c>
      <c r="R40" s="523">
        <f t="shared" si="15"/>
        <v>137071.57</v>
      </c>
      <c r="S40" s="523">
        <f t="shared" si="15"/>
        <v>8640</v>
      </c>
      <c r="T40" s="523">
        <f t="shared" si="15"/>
        <v>8679.91</v>
      </c>
      <c r="U40" s="524">
        <f t="shared" si="15"/>
        <v>3137864.3600000003</v>
      </c>
      <c r="V40" s="524">
        <f t="shared" si="15"/>
        <v>2891756.61</v>
      </c>
      <c r="W40" s="524">
        <f t="shared" si="15"/>
        <v>359634.61000000004</v>
      </c>
      <c r="X40" s="524">
        <f t="shared" si="15"/>
        <v>0</v>
      </c>
      <c r="Y40" s="522">
        <f t="shared" si="0"/>
        <v>2778229.7500000005</v>
      </c>
      <c r="Z40" s="524">
        <f t="shared" si="1"/>
        <v>2560328.7210480785</v>
      </c>
      <c r="AA40" s="545">
        <f t="shared" si="2"/>
        <v>3038620.5500000003</v>
      </c>
      <c r="AB40" s="546">
        <f>SUM(AB10:AB39)</f>
        <v>2840506.6028138008</v>
      </c>
      <c r="AC40" s="744">
        <f>SUM(AC10:AC39)</f>
        <v>3370986.0100000007</v>
      </c>
      <c r="AD40" s="524">
        <f t="shared" ref="AD40:AS40" si="16">SUM(AD10:AD39)</f>
        <v>87600</v>
      </c>
      <c r="AE40" s="524">
        <f t="shared" si="16"/>
        <v>8640</v>
      </c>
      <c r="AF40" s="524">
        <f t="shared" si="16"/>
        <v>11441.960000000001</v>
      </c>
      <c r="AG40" s="524">
        <f t="shared" si="16"/>
        <v>0</v>
      </c>
      <c r="AH40" s="524">
        <f t="shared" si="16"/>
        <v>1390870.4600000004</v>
      </c>
      <c r="AI40" s="524">
        <f t="shared" si="16"/>
        <v>328669.63000000012</v>
      </c>
      <c r="AJ40" s="524">
        <f t="shared" si="16"/>
        <v>2206.9599999999996</v>
      </c>
      <c r="AK40" s="524">
        <f t="shared" si="16"/>
        <v>51068.409999999996</v>
      </c>
      <c r="AL40" s="524">
        <f t="shared" si="16"/>
        <v>632.78</v>
      </c>
      <c r="AM40" s="524">
        <f t="shared" si="16"/>
        <v>33823.739999999983</v>
      </c>
      <c r="AN40" s="524">
        <f t="shared" si="16"/>
        <v>766381.37000000011</v>
      </c>
      <c r="AO40" s="524">
        <f t="shared" si="16"/>
        <v>83651.810000000012</v>
      </c>
      <c r="AP40" s="524">
        <f t="shared" si="16"/>
        <v>2950.0000000000005</v>
      </c>
      <c r="AQ40" s="524">
        <f t="shared" si="16"/>
        <v>580910.04</v>
      </c>
      <c r="AR40" s="524">
        <f t="shared" si="16"/>
        <v>22138.85</v>
      </c>
      <c r="AS40" s="524">
        <f t="shared" si="16"/>
        <v>-332365.4599999999</v>
      </c>
      <c r="AT40" s="111"/>
      <c r="AU40" s="111"/>
      <c r="AV40" s="111"/>
      <c r="AW40" s="111"/>
      <c r="AX40" s="11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74"/>
      <c r="BM40" s="51"/>
      <c r="BN40" s="54"/>
    </row>
    <row r="41" spans="1:66" x14ac:dyDescent="0.25">
      <c r="C41" s="525"/>
      <c r="D41" s="525"/>
      <c r="E41" s="525"/>
      <c r="F41" s="525"/>
      <c r="G41" s="525"/>
      <c r="H41" s="526"/>
      <c r="I41" s="525"/>
      <c r="J41" s="525"/>
      <c r="K41" s="525"/>
      <c r="L41" s="525"/>
      <c r="M41" s="525"/>
      <c r="N41" s="525"/>
      <c r="O41" s="525"/>
      <c r="P41" s="525"/>
      <c r="Q41" s="525"/>
      <c r="R41" s="525"/>
      <c r="S41" s="525"/>
      <c r="T41" s="525"/>
      <c r="U41" s="525"/>
      <c r="V41" s="525"/>
      <c r="W41" s="525"/>
      <c r="X41" s="525"/>
      <c r="Y41" s="525"/>
      <c r="Z41" s="525"/>
      <c r="AA41" s="525"/>
      <c r="AB41" s="525"/>
      <c r="AC41" s="525"/>
      <c r="AD41" s="525"/>
      <c r="AE41" s="525"/>
      <c r="AF41" s="525"/>
      <c r="AG41" s="525"/>
      <c r="AH41" s="525"/>
      <c r="AI41" s="525"/>
      <c r="AJ41" s="525"/>
      <c r="AK41" s="525"/>
      <c r="AL41" s="525"/>
      <c r="AM41" s="525"/>
      <c r="AN41" s="525"/>
      <c r="AO41" s="525"/>
      <c r="AP41" s="525"/>
      <c r="AQ41" s="525"/>
      <c r="AR41" s="299"/>
      <c r="AS41" s="299"/>
      <c r="AT41" s="111"/>
      <c r="AU41" s="111"/>
      <c r="AV41" s="111"/>
      <c r="AW41" s="111"/>
      <c r="AX41" s="9"/>
      <c r="AY41" s="9"/>
      <c r="AZ41" s="9"/>
      <c r="BA41" s="9"/>
      <c r="BB41" s="9"/>
      <c r="BC41" s="9"/>
      <c r="BD41" s="54"/>
      <c r="BE41" s="9"/>
      <c r="BF41" s="9"/>
      <c r="BG41" s="9"/>
      <c r="BH41" s="9"/>
      <c r="BI41" s="9"/>
      <c r="BJ41" s="9"/>
      <c r="BK41" s="9"/>
      <c r="BL41" s="75"/>
      <c r="BM41" s="9"/>
      <c r="BN41" s="9"/>
    </row>
    <row r="42" spans="1:66" x14ac:dyDescent="0.25">
      <c r="C42" s="528" t="s">
        <v>256</v>
      </c>
      <c r="D42" s="186"/>
      <c r="E42" s="186"/>
      <c r="F42" s="186"/>
      <c r="G42" s="186"/>
      <c r="H42" s="527">
        <f>H10+H11+H12+H13+H14+H15+H16+H17+H18+H19+H24+H25+H26</f>
        <v>15709.310000000001</v>
      </c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299"/>
      <c r="AS42" s="299"/>
      <c r="AT42" s="185"/>
      <c r="AU42" s="185"/>
      <c r="AV42" s="9"/>
      <c r="AW42" s="9"/>
      <c r="AX42" s="9"/>
      <c r="AY42" s="9"/>
      <c r="AZ42" s="9"/>
      <c r="BA42" s="9"/>
      <c r="BB42" s="9"/>
      <c r="BC42" s="9"/>
      <c r="BD42" s="54"/>
      <c r="BE42" s="9"/>
      <c r="BF42" s="9"/>
      <c r="BG42" s="9"/>
      <c r="BH42" s="9"/>
      <c r="BI42" s="9"/>
      <c r="BJ42" s="9"/>
      <c r="BK42" s="9"/>
      <c r="BL42" s="75"/>
      <c r="BM42" s="9"/>
      <c r="BN42" s="9"/>
    </row>
    <row r="43" spans="1:66" x14ac:dyDescent="0.25"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299"/>
      <c r="AS43" s="299"/>
      <c r="AT43" s="185"/>
      <c r="AU43" s="185"/>
      <c r="AV43" s="9"/>
      <c r="AW43" s="9"/>
      <c r="AX43" s="9"/>
      <c r="AY43" s="9"/>
      <c r="AZ43" s="9"/>
      <c r="BA43" s="9"/>
      <c r="BB43" s="9"/>
      <c r="BC43" s="9"/>
      <c r="BD43" s="54"/>
      <c r="BE43" s="9"/>
      <c r="BF43" s="9"/>
      <c r="BG43" s="9"/>
      <c r="BH43" s="9"/>
      <c r="BI43" s="9"/>
      <c r="BJ43" s="9"/>
      <c r="BK43" s="9"/>
      <c r="BL43" s="75"/>
      <c r="BM43" s="9"/>
      <c r="BN43" s="9"/>
    </row>
    <row r="44" spans="1:66" ht="18" x14ac:dyDescent="0.25">
      <c r="A44" s="9"/>
      <c r="B44" s="9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185"/>
      <c r="AU44" s="185"/>
      <c r="AV44" s="9"/>
      <c r="AW44" s="9"/>
      <c r="AX44" s="9"/>
      <c r="AY44" s="9"/>
      <c r="AZ44" s="9"/>
      <c r="BA44" s="9"/>
      <c r="BB44" s="9"/>
      <c r="BC44" s="9"/>
      <c r="BD44" s="54"/>
      <c r="BE44" s="9"/>
      <c r="BF44" s="9"/>
      <c r="BG44" s="9"/>
      <c r="BH44" s="9"/>
      <c r="BI44" s="9"/>
      <c r="BJ44" s="9"/>
      <c r="BK44" s="9"/>
      <c r="BL44" s="75"/>
      <c r="BM44" s="9"/>
      <c r="BN44" s="9"/>
    </row>
    <row r="45" spans="1:66" ht="18.75" x14ac:dyDescent="0.3">
      <c r="C45" s="960" t="s">
        <v>258</v>
      </c>
      <c r="D45" s="961"/>
      <c r="E45" s="961"/>
      <c r="F45" s="961"/>
      <c r="G45" s="961"/>
      <c r="H45" s="961"/>
      <c r="I45" s="961"/>
      <c r="J45" s="961"/>
      <c r="K45" s="961"/>
      <c r="L45" s="961"/>
      <c r="M45" s="961"/>
      <c r="N45" s="961"/>
      <c r="O45" s="961"/>
      <c r="P45" s="961"/>
      <c r="Q45" s="961"/>
      <c r="R45" s="961"/>
      <c r="S45" s="961"/>
      <c r="T45" s="961"/>
      <c r="U45" s="961"/>
      <c r="V45" s="961"/>
      <c r="W45" s="961"/>
      <c r="X45" s="961"/>
      <c r="Y45" s="961"/>
      <c r="Z45" s="961"/>
      <c r="AA45" s="961"/>
      <c r="AB45" s="961"/>
      <c r="AC45" s="961"/>
      <c r="AD45" s="961"/>
      <c r="AE45" s="961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185"/>
      <c r="AU45" s="185"/>
    </row>
    <row r="46" spans="1:66" ht="21.75" customHeight="1" x14ac:dyDescent="0.25">
      <c r="C46" s="302" t="s">
        <v>42</v>
      </c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299"/>
      <c r="AG46" s="299"/>
      <c r="AH46" s="299"/>
      <c r="AI46" s="299"/>
      <c r="AJ46" s="299"/>
      <c r="AK46" s="299"/>
      <c r="AL46" s="299"/>
      <c r="AM46" s="738"/>
      <c r="AN46" s="738"/>
      <c r="AO46" s="738"/>
      <c r="AP46" s="738"/>
      <c r="AQ46" s="299"/>
      <c r="AR46" s="299"/>
      <c r="AS46" s="299"/>
      <c r="AT46" s="185"/>
      <c r="AU46" s="185"/>
      <c r="AV46" s="948"/>
      <c r="AW46" s="948"/>
      <c r="AX46" s="948"/>
      <c r="AY46" s="948"/>
      <c r="AZ46" s="121"/>
      <c r="BA46" s="72"/>
      <c r="BB46" s="72"/>
      <c r="BC46" s="121"/>
      <c r="BD46" s="50"/>
      <c r="BE46" s="72"/>
      <c r="BF46" s="122"/>
      <c r="BG46" s="122"/>
      <c r="BH46" s="947"/>
      <c r="BI46" s="947"/>
      <c r="BJ46" s="947"/>
      <c r="BK46" s="947"/>
      <c r="BL46" s="119"/>
      <c r="BM46" s="120"/>
    </row>
    <row r="47" spans="1:66" s="43" customFormat="1" ht="18" x14ac:dyDescent="0.25">
      <c r="A47"/>
      <c r="B47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299"/>
      <c r="AG47" s="299"/>
      <c r="AH47" s="299"/>
      <c r="AI47" s="299"/>
      <c r="AJ47" s="299"/>
      <c r="AK47" s="299"/>
      <c r="AL47" s="299"/>
      <c r="AM47" s="738"/>
      <c r="AN47" s="738"/>
      <c r="AO47" s="738"/>
      <c r="AP47" s="738"/>
      <c r="AQ47" s="299"/>
      <c r="AR47" s="299"/>
      <c r="AS47" s="299"/>
      <c r="AT47" s="186"/>
      <c r="AU47" s="186"/>
      <c r="AV47" s="46"/>
      <c r="AW47" s="46"/>
      <c r="AX47" s="46"/>
      <c r="AY47" s="46"/>
      <c r="AZ47" s="46"/>
      <c r="BA47" s="46"/>
      <c r="BB47" s="46"/>
      <c r="BC47" s="23"/>
      <c r="BD47" s="28"/>
      <c r="BE47" s="23"/>
      <c r="BF47" s="47"/>
      <c r="BG47" s="47"/>
      <c r="BH47" s="48"/>
      <c r="BI47" s="47"/>
      <c r="BJ47" s="48"/>
      <c r="BK47" s="47"/>
      <c r="BL47" s="73"/>
      <c r="BM47" s="28"/>
    </row>
    <row r="48" spans="1:66" s="43" customFormat="1" ht="27.75" customHeight="1" x14ac:dyDescent="0.25">
      <c r="A48" s="915" t="s">
        <v>0</v>
      </c>
      <c r="B48" s="860"/>
      <c r="C48" s="951" t="s">
        <v>130</v>
      </c>
      <c r="D48" s="951" t="s">
        <v>43</v>
      </c>
      <c r="E48" s="951" t="s">
        <v>44</v>
      </c>
      <c r="F48" s="951" t="s">
        <v>45</v>
      </c>
      <c r="G48" s="951" t="s">
        <v>46</v>
      </c>
      <c r="H48" s="951" t="s">
        <v>1</v>
      </c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952" t="s">
        <v>244</v>
      </c>
      <c r="V48" s="953"/>
      <c r="W48" s="957" t="s">
        <v>245</v>
      </c>
      <c r="X48" s="957"/>
      <c r="Y48" s="883" t="s">
        <v>246</v>
      </c>
      <c r="Z48" s="884"/>
      <c r="AA48" s="937" t="s">
        <v>263</v>
      </c>
      <c r="AB48" s="938"/>
      <c r="AC48" s="958" t="s">
        <v>204</v>
      </c>
      <c r="AD48" s="962" t="s">
        <v>259</v>
      </c>
      <c r="AE48" s="943" t="s">
        <v>260</v>
      </c>
      <c r="AF48" s="943" t="s">
        <v>261</v>
      </c>
      <c r="AG48" s="943" t="s">
        <v>188</v>
      </c>
      <c r="AH48" s="943" t="s">
        <v>208</v>
      </c>
      <c r="AI48" s="945" t="s">
        <v>201</v>
      </c>
      <c r="AJ48" s="943" t="s">
        <v>200</v>
      </c>
      <c r="AK48" s="943" t="s">
        <v>221</v>
      </c>
      <c r="AL48" s="945" t="s">
        <v>262</v>
      </c>
      <c r="AM48" s="941"/>
      <c r="AN48" s="941" t="s">
        <v>367</v>
      </c>
      <c r="AO48" s="738"/>
      <c r="AP48" s="738"/>
      <c r="AQ48" s="299"/>
      <c r="AR48" s="299"/>
      <c r="AS48" s="299"/>
      <c r="AT48" s="186"/>
      <c r="AU48" s="186"/>
      <c r="AV48" s="46"/>
      <c r="AW48" s="46"/>
      <c r="AX48" s="46"/>
      <c r="AY48" s="28"/>
      <c r="AZ48" s="46"/>
      <c r="BA48" s="46"/>
      <c r="BB48" s="46"/>
      <c r="BC48" s="23"/>
      <c r="BD48" s="28"/>
      <c r="BE48" s="23"/>
      <c r="BF48" s="47"/>
      <c r="BG48" s="47"/>
      <c r="BH48" s="48"/>
      <c r="BI48" s="47"/>
      <c r="BJ48" s="48"/>
      <c r="BK48" s="47"/>
      <c r="BL48" s="73"/>
      <c r="BM48" s="28"/>
    </row>
    <row r="49" spans="1:65" s="43" customFormat="1" ht="25.5" customHeight="1" x14ac:dyDescent="0.25">
      <c r="A49" s="915"/>
      <c r="B49" s="861"/>
      <c r="C49" s="951"/>
      <c r="D49" s="951"/>
      <c r="E49" s="951"/>
      <c r="F49" s="951"/>
      <c r="G49" s="951"/>
      <c r="H49" s="951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03" t="s">
        <v>4</v>
      </c>
      <c r="V49" s="304" t="s">
        <v>5</v>
      </c>
      <c r="W49" s="303" t="s">
        <v>4</v>
      </c>
      <c r="X49" s="304" t="s">
        <v>5</v>
      </c>
      <c r="Y49" s="303" t="s">
        <v>4</v>
      </c>
      <c r="Z49" s="304" t="s">
        <v>5</v>
      </c>
      <c r="AA49" s="538" t="s">
        <v>4</v>
      </c>
      <c r="AB49" s="539" t="s">
        <v>5</v>
      </c>
      <c r="AC49" s="959"/>
      <c r="AD49" s="962"/>
      <c r="AE49" s="944"/>
      <c r="AF49" s="944"/>
      <c r="AG49" s="944"/>
      <c r="AH49" s="944"/>
      <c r="AI49" s="946"/>
      <c r="AJ49" s="944"/>
      <c r="AK49" s="944"/>
      <c r="AL49" s="946"/>
      <c r="AM49" s="942"/>
      <c r="AN49" s="942"/>
      <c r="AO49" s="738"/>
      <c r="AP49" s="738"/>
      <c r="AQ49" s="299"/>
      <c r="AR49" s="299"/>
      <c r="AS49" s="299"/>
      <c r="AT49" s="186"/>
      <c r="AU49" s="186"/>
      <c r="AV49" s="46"/>
      <c r="AW49" s="46"/>
      <c r="AX49" s="46"/>
      <c r="AY49" s="28"/>
      <c r="AZ49" s="46"/>
      <c r="BA49" s="46"/>
      <c r="BB49" s="46"/>
      <c r="BC49" s="23"/>
      <c r="BD49" s="28"/>
      <c r="BE49" s="23"/>
      <c r="BF49" s="47"/>
      <c r="BG49" s="47"/>
      <c r="BH49" s="48"/>
      <c r="BI49" s="47"/>
      <c r="BJ49" s="48"/>
      <c r="BK49" s="47"/>
      <c r="BL49" s="73"/>
      <c r="BM49" s="28"/>
    </row>
    <row r="50" spans="1:65" s="43" customFormat="1" x14ac:dyDescent="0.25">
      <c r="A50" s="15">
        <v>1</v>
      </c>
      <c r="B50" s="200">
        <v>42491</v>
      </c>
      <c r="C50" s="163" t="s">
        <v>47</v>
      </c>
      <c r="D50" s="245">
        <v>1976</v>
      </c>
      <c r="E50" s="245">
        <v>3</v>
      </c>
      <c r="F50" s="245">
        <v>24</v>
      </c>
      <c r="G50" s="245">
        <v>97</v>
      </c>
      <c r="H50" s="246">
        <v>1461.2</v>
      </c>
      <c r="I50" s="356"/>
      <c r="J50" s="356"/>
      <c r="K50" s="356"/>
      <c r="L50" s="356"/>
      <c r="M50" s="356"/>
      <c r="N50" s="356"/>
      <c r="O50" s="356"/>
      <c r="P50" s="356"/>
      <c r="Q50" s="356"/>
      <c r="R50" s="356"/>
      <c r="S50" s="356"/>
      <c r="T50" s="356"/>
      <c r="U50" s="176">
        <v>64174.32</v>
      </c>
      <c r="V50" s="176">
        <v>70514.31</v>
      </c>
      <c r="W50" s="176">
        <f>U50/8*12</f>
        <v>96261.48</v>
      </c>
      <c r="X50" s="176"/>
      <c r="Y50" s="533">
        <f>W50-U50</f>
        <v>32087.159999999996</v>
      </c>
      <c r="Z50" s="533">
        <f>V10-Z10</f>
        <v>28876.052594632725</v>
      </c>
      <c r="AA50" s="540">
        <f>W50</f>
        <v>96261.48</v>
      </c>
      <c r="AB50" s="540">
        <f>Z50+V50</f>
        <v>99390.362594632723</v>
      </c>
      <c r="AC50" s="745">
        <f t="shared" ref="AC50:AC59" si="17">AD50+AE50+AF50+AG50+AH50+AI50+AJ50+AK50+AL50+AM50</f>
        <v>95610.17</v>
      </c>
      <c r="AD50" s="130"/>
      <c r="AE50" s="533"/>
      <c r="AF50" s="534"/>
      <c r="AG50" s="534"/>
      <c r="AH50" s="534"/>
      <c r="AI50" s="534">
        <v>95610.17</v>
      </c>
      <c r="AJ50" s="534"/>
      <c r="AK50" s="534"/>
      <c r="AL50" s="534"/>
      <c r="AM50" s="597"/>
      <c r="AN50" s="597">
        <f>AA50-AC50</f>
        <v>651.30999999999767</v>
      </c>
      <c r="AO50" s="738"/>
      <c r="AP50" s="738"/>
      <c r="AQ50" s="299"/>
      <c r="AR50" s="299"/>
      <c r="AS50" s="299"/>
      <c r="AT50" s="186"/>
      <c r="AU50" s="186"/>
      <c r="AV50" s="46"/>
      <c r="AW50" s="46"/>
      <c r="AX50" s="46"/>
      <c r="AY50" s="28"/>
      <c r="AZ50" s="46"/>
      <c r="BA50" s="46"/>
      <c r="BB50" s="46"/>
      <c r="BC50" s="23"/>
      <c r="BD50" s="28"/>
      <c r="BE50" s="23"/>
      <c r="BF50" s="47"/>
      <c r="BG50" s="47"/>
      <c r="BH50" s="48"/>
      <c r="BI50" s="47"/>
      <c r="BJ50" s="48"/>
      <c r="BK50" s="47"/>
      <c r="BL50" s="73"/>
      <c r="BM50" s="28"/>
    </row>
    <row r="51" spans="1:65" s="43" customFormat="1" x14ac:dyDescent="0.25">
      <c r="A51" s="15">
        <v>2</v>
      </c>
      <c r="B51" s="15"/>
      <c r="C51" s="163" t="s">
        <v>48</v>
      </c>
      <c r="D51" s="245">
        <v>1977</v>
      </c>
      <c r="E51" s="245">
        <v>3</v>
      </c>
      <c r="F51" s="245">
        <v>24</v>
      </c>
      <c r="G51" s="245">
        <v>81</v>
      </c>
      <c r="H51" s="246">
        <v>1456.7</v>
      </c>
      <c r="I51" s="356"/>
      <c r="J51" s="356"/>
      <c r="K51" s="356"/>
      <c r="L51" s="356"/>
      <c r="M51" s="356"/>
      <c r="N51" s="356"/>
      <c r="O51" s="356"/>
      <c r="P51" s="356"/>
      <c r="Q51" s="356"/>
      <c r="R51" s="356"/>
      <c r="S51" s="356"/>
      <c r="T51" s="356"/>
      <c r="U51" s="176">
        <v>64094.96</v>
      </c>
      <c r="V51" s="176">
        <v>65581.27</v>
      </c>
      <c r="W51" s="176">
        <f t="shared" ref="W51:W79" si="18">U51/8*12</f>
        <v>96142.44</v>
      </c>
      <c r="X51" s="176"/>
      <c r="Y51" s="533">
        <f t="shared" ref="Y51:Y79" si="19">W51-U51</f>
        <v>32047.480000000003</v>
      </c>
      <c r="Z51" s="533">
        <f t="shared" ref="Z51:Z80" si="20">V11-Z11</f>
        <v>27352.7076836786</v>
      </c>
      <c r="AA51" s="540">
        <f t="shared" ref="AA51:AA79" si="21">W51</f>
        <v>96142.44</v>
      </c>
      <c r="AB51" s="540">
        <f t="shared" ref="AB51:AB80" si="22">Z51+V51</f>
        <v>92933.977683678604</v>
      </c>
      <c r="AC51" s="745">
        <f t="shared" si="17"/>
        <v>13007.33</v>
      </c>
      <c r="AD51" s="130"/>
      <c r="AE51" s="533"/>
      <c r="AF51" s="534"/>
      <c r="AG51" s="534"/>
      <c r="AH51" s="534">
        <v>13007.33</v>
      </c>
      <c r="AI51" s="534"/>
      <c r="AJ51" s="534"/>
      <c r="AK51" s="534"/>
      <c r="AL51" s="534"/>
      <c r="AM51" s="597"/>
      <c r="AN51" s="597">
        <f t="shared" ref="AN51:AN80" si="23">AA51-AC51</f>
        <v>83135.11</v>
      </c>
      <c r="AO51" s="738"/>
      <c r="AP51" s="738"/>
      <c r="AQ51" s="299"/>
      <c r="AR51" s="299"/>
      <c r="AS51" s="299"/>
      <c r="AT51" s="186"/>
      <c r="AU51" s="186"/>
      <c r="AV51" s="46"/>
      <c r="AW51" s="46"/>
      <c r="AX51" s="46"/>
      <c r="AY51" s="28"/>
      <c r="AZ51" s="46"/>
      <c r="BA51" s="46"/>
      <c r="BB51" s="46"/>
      <c r="BC51" s="23"/>
      <c r="BD51" s="28"/>
      <c r="BE51" s="23"/>
      <c r="BF51" s="47"/>
      <c r="BG51" s="47"/>
      <c r="BH51" s="48"/>
      <c r="BI51" s="47"/>
      <c r="BJ51" s="48"/>
      <c r="BK51" s="47"/>
      <c r="BL51" s="73"/>
      <c r="BM51" s="28"/>
    </row>
    <row r="52" spans="1:65" s="71" customFormat="1" x14ac:dyDescent="0.25">
      <c r="A52" s="15">
        <v>3</v>
      </c>
      <c r="B52" s="15"/>
      <c r="C52" s="163" t="s">
        <v>49</v>
      </c>
      <c r="D52" s="245">
        <v>1972</v>
      </c>
      <c r="E52" s="245">
        <v>2</v>
      </c>
      <c r="F52" s="245">
        <v>18</v>
      </c>
      <c r="G52" s="245">
        <v>57</v>
      </c>
      <c r="H52" s="246">
        <v>776.8</v>
      </c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176">
        <v>34179.279999999999</v>
      </c>
      <c r="V52" s="176">
        <v>37969.57</v>
      </c>
      <c r="W52" s="176">
        <f t="shared" si="18"/>
        <v>51268.92</v>
      </c>
      <c r="X52" s="176"/>
      <c r="Y52" s="533">
        <f t="shared" si="19"/>
        <v>17089.64</v>
      </c>
      <c r="Z52" s="533">
        <f t="shared" si="20"/>
        <v>15527.268099654495</v>
      </c>
      <c r="AA52" s="540">
        <f t="shared" si="21"/>
        <v>51268.92</v>
      </c>
      <c r="AB52" s="540">
        <f t="shared" si="22"/>
        <v>53496.838099654495</v>
      </c>
      <c r="AC52" s="745">
        <f t="shared" si="17"/>
        <v>0</v>
      </c>
      <c r="AD52" s="130"/>
      <c r="AE52" s="533"/>
      <c r="AF52" s="534"/>
      <c r="AG52" s="534"/>
      <c r="AH52" s="534"/>
      <c r="AI52" s="534"/>
      <c r="AJ52" s="534"/>
      <c r="AK52" s="534"/>
      <c r="AL52" s="534"/>
      <c r="AM52" s="597"/>
      <c r="AN52" s="597">
        <f t="shared" si="23"/>
        <v>51268.92</v>
      </c>
      <c r="AO52" s="738"/>
      <c r="AP52" s="738"/>
      <c r="AQ52" s="299"/>
      <c r="AR52" s="299"/>
      <c r="AS52" s="299"/>
      <c r="AT52" s="186"/>
      <c r="AU52" s="186"/>
      <c r="AV52" s="46"/>
      <c r="AW52" s="46"/>
      <c r="AX52" s="46"/>
      <c r="AY52" s="28"/>
      <c r="AZ52" s="46"/>
      <c r="BA52" s="46"/>
      <c r="BB52" s="46"/>
      <c r="BC52" s="23"/>
      <c r="BD52" s="28"/>
      <c r="BE52" s="23"/>
      <c r="BF52" s="47"/>
      <c r="BG52" s="47"/>
      <c r="BH52" s="48"/>
      <c r="BI52" s="47"/>
      <c r="BJ52" s="48"/>
      <c r="BK52" s="47"/>
      <c r="BL52" s="73"/>
      <c r="BM52" s="28"/>
    </row>
    <row r="53" spans="1:65" s="71" customFormat="1" x14ac:dyDescent="0.25">
      <c r="A53" s="15">
        <v>4</v>
      </c>
      <c r="B53" s="15"/>
      <c r="C53" s="163" t="s">
        <v>191</v>
      </c>
      <c r="D53" s="245">
        <v>1973</v>
      </c>
      <c r="E53" s="245">
        <v>2</v>
      </c>
      <c r="F53" s="245">
        <v>18</v>
      </c>
      <c r="G53" s="245">
        <v>49</v>
      </c>
      <c r="H53" s="246">
        <v>773.51</v>
      </c>
      <c r="I53" s="356"/>
      <c r="J53" s="356"/>
      <c r="K53" s="356"/>
      <c r="L53" s="356"/>
      <c r="M53" s="356"/>
      <c r="N53" s="356"/>
      <c r="O53" s="356"/>
      <c r="P53" s="356"/>
      <c r="Q53" s="356"/>
      <c r="R53" s="356"/>
      <c r="S53" s="356"/>
      <c r="T53" s="356"/>
      <c r="U53" s="176">
        <v>34074.080000000002</v>
      </c>
      <c r="V53" s="176">
        <v>37618.879999999997</v>
      </c>
      <c r="W53" s="176">
        <f t="shared" si="18"/>
        <v>51111.12</v>
      </c>
      <c r="X53" s="176"/>
      <c r="Y53" s="533">
        <f t="shared" si="19"/>
        <v>17037.04</v>
      </c>
      <c r="Z53" s="533">
        <f t="shared" si="20"/>
        <v>15365.007162409427</v>
      </c>
      <c r="AA53" s="540">
        <f t="shared" si="21"/>
        <v>51111.12</v>
      </c>
      <c r="AB53" s="540">
        <f t="shared" si="22"/>
        <v>52983.887162409424</v>
      </c>
      <c r="AC53" s="745">
        <f t="shared" si="17"/>
        <v>51632</v>
      </c>
      <c r="AD53" s="130"/>
      <c r="AE53" s="533"/>
      <c r="AF53" s="534"/>
      <c r="AG53" s="534"/>
      <c r="AH53" s="534"/>
      <c r="AI53" s="534">
        <v>51632</v>
      </c>
      <c r="AJ53" s="534"/>
      <c r="AK53" s="534"/>
      <c r="AL53" s="534"/>
      <c r="AM53" s="597"/>
      <c r="AN53" s="597">
        <f t="shared" si="23"/>
        <v>-520.87999999999738</v>
      </c>
      <c r="AO53" s="738"/>
      <c r="AP53" s="738"/>
      <c r="AQ53" s="299"/>
      <c r="AR53" s="299"/>
      <c r="AS53" s="299"/>
      <c r="AT53" s="186"/>
      <c r="AU53" s="186"/>
      <c r="AV53" s="46"/>
      <c r="AW53" s="46"/>
      <c r="AX53" s="46"/>
      <c r="AY53" s="28"/>
      <c r="AZ53" s="46"/>
      <c r="BA53" s="46"/>
      <c r="BB53" s="46"/>
      <c r="BC53" s="23"/>
      <c r="BD53" s="28"/>
      <c r="BE53" s="23"/>
      <c r="BF53" s="47"/>
      <c r="BG53" s="47"/>
      <c r="BH53" s="48"/>
      <c r="BI53" s="47"/>
      <c r="BJ53" s="48"/>
      <c r="BK53" s="47"/>
      <c r="BL53" s="73"/>
      <c r="BM53" s="28"/>
    </row>
    <row r="54" spans="1:65" s="43" customFormat="1" x14ac:dyDescent="0.25">
      <c r="A54" s="15">
        <v>5</v>
      </c>
      <c r="B54" s="15"/>
      <c r="C54" s="163" t="s">
        <v>51</v>
      </c>
      <c r="D54" s="245">
        <v>1980</v>
      </c>
      <c r="E54" s="245">
        <v>3</v>
      </c>
      <c r="F54" s="245">
        <v>36</v>
      </c>
      <c r="G54" s="245">
        <v>93</v>
      </c>
      <c r="H54" s="246">
        <v>1799.9</v>
      </c>
      <c r="I54" s="356"/>
      <c r="J54" s="356"/>
      <c r="K54" s="356"/>
      <c r="L54" s="356"/>
      <c r="M54" s="356"/>
      <c r="N54" s="356"/>
      <c r="O54" s="356"/>
      <c r="P54" s="356"/>
      <c r="Q54" s="356"/>
      <c r="R54" s="356"/>
      <c r="S54" s="356"/>
      <c r="T54" s="356"/>
      <c r="U54" s="176">
        <v>79088.350000000006</v>
      </c>
      <c r="V54" s="176">
        <v>89005.82</v>
      </c>
      <c r="W54" s="176">
        <f t="shared" si="18"/>
        <v>118632.52500000001</v>
      </c>
      <c r="X54" s="176"/>
      <c r="Y54" s="533">
        <f t="shared" si="19"/>
        <v>39544.175000000003</v>
      </c>
      <c r="Z54" s="533">
        <f t="shared" si="20"/>
        <v>38134.385130190873</v>
      </c>
      <c r="AA54" s="540">
        <f t="shared" si="21"/>
        <v>118632.52500000001</v>
      </c>
      <c r="AB54" s="540">
        <f t="shared" si="22"/>
        <v>127140.20513019088</v>
      </c>
      <c r="AC54" s="745">
        <f t="shared" si="17"/>
        <v>64033.53</v>
      </c>
      <c r="AD54" s="130"/>
      <c r="AE54" s="533">
        <v>7291</v>
      </c>
      <c r="AF54" s="534">
        <v>30847.35</v>
      </c>
      <c r="AG54" s="534"/>
      <c r="AH54" s="534">
        <v>18379.490000000002</v>
      </c>
      <c r="AI54" s="534"/>
      <c r="AJ54" s="534"/>
      <c r="AK54" s="534">
        <v>1219.21</v>
      </c>
      <c r="AL54" s="534">
        <v>6296.48</v>
      </c>
      <c r="AM54" s="597"/>
      <c r="AN54" s="597">
        <f t="shared" si="23"/>
        <v>54598.99500000001</v>
      </c>
      <c r="AO54" s="738"/>
      <c r="AP54" s="738"/>
      <c r="AQ54" s="299"/>
      <c r="AR54" s="299"/>
      <c r="AS54" s="299"/>
      <c r="AT54" s="186"/>
      <c r="AU54" s="186"/>
      <c r="AV54" s="46"/>
      <c r="AW54" s="46"/>
      <c r="AX54" s="46"/>
      <c r="AY54" s="28"/>
      <c r="AZ54" s="46"/>
      <c r="BA54" s="46"/>
      <c r="BB54" s="46"/>
      <c r="BC54" s="23"/>
      <c r="BD54" s="28"/>
      <c r="BE54" s="23"/>
      <c r="BF54" s="47"/>
      <c r="BG54" s="47"/>
      <c r="BH54" s="48"/>
      <c r="BI54" s="47"/>
      <c r="BJ54" s="48"/>
      <c r="BK54" s="47"/>
      <c r="BL54" s="73"/>
      <c r="BM54" s="28"/>
    </row>
    <row r="55" spans="1:65" s="43" customFormat="1" x14ac:dyDescent="0.25">
      <c r="A55" s="15">
        <v>6</v>
      </c>
      <c r="B55" s="15"/>
      <c r="C55" s="163" t="s">
        <v>52</v>
      </c>
      <c r="D55" s="245">
        <v>1982</v>
      </c>
      <c r="E55" s="245">
        <v>3</v>
      </c>
      <c r="F55" s="245">
        <v>24</v>
      </c>
      <c r="G55" s="245">
        <v>84</v>
      </c>
      <c r="H55" s="246">
        <v>1454.5</v>
      </c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176">
        <v>63984.88</v>
      </c>
      <c r="V55" s="176">
        <v>68391.399999999994</v>
      </c>
      <c r="W55" s="176">
        <f t="shared" si="18"/>
        <v>95977.319999999992</v>
      </c>
      <c r="X55" s="176"/>
      <c r="Y55" s="533">
        <f t="shared" si="19"/>
        <v>31992.439999999995</v>
      </c>
      <c r="Z55" s="533">
        <f t="shared" si="20"/>
        <v>27822.17988543681</v>
      </c>
      <c r="AA55" s="540">
        <f t="shared" si="21"/>
        <v>95977.319999999992</v>
      </c>
      <c r="AB55" s="540">
        <f t="shared" si="22"/>
        <v>96213.579885436804</v>
      </c>
      <c r="AC55" s="745">
        <f t="shared" si="17"/>
        <v>95996.1</v>
      </c>
      <c r="AD55" s="130"/>
      <c r="AE55" s="533"/>
      <c r="AF55" s="534"/>
      <c r="AG55" s="534"/>
      <c r="AH55" s="534">
        <v>13386.1</v>
      </c>
      <c r="AI55" s="534">
        <v>82610</v>
      </c>
      <c r="AJ55" s="534"/>
      <c r="AK55" s="534"/>
      <c r="AL55" s="534"/>
      <c r="AM55" s="597"/>
      <c r="AN55" s="597">
        <f t="shared" si="23"/>
        <v>-18.780000000013388</v>
      </c>
      <c r="AO55" s="738"/>
      <c r="AP55" s="738"/>
      <c r="AQ55" s="299"/>
      <c r="AR55" s="299"/>
      <c r="AS55" s="299"/>
      <c r="AT55" s="186"/>
      <c r="AU55" s="186"/>
      <c r="AV55" s="46"/>
      <c r="AW55" s="46"/>
      <c r="AX55" s="46"/>
      <c r="AY55" s="28"/>
      <c r="AZ55" s="46"/>
      <c r="BA55" s="46"/>
      <c r="BB55" s="46"/>
      <c r="BC55" s="23"/>
      <c r="BD55" s="28"/>
      <c r="BE55" s="23"/>
      <c r="BF55" s="47"/>
      <c r="BG55" s="47"/>
      <c r="BH55" s="48"/>
      <c r="BI55" s="47"/>
      <c r="BJ55" s="48"/>
      <c r="BK55" s="47"/>
      <c r="BL55" s="73"/>
      <c r="BM55" s="28"/>
    </row>
    <row r="56" spans="1:65" s="43" customFormat="1" x14ac:dyDescent="0.25">
      <c r="A56" s="15">
        <v>7</v>
      </c>
      <c r="B56" s="15"/>
      <c r="C56" s="163" t="s">
        <v>53</v>
      </c>
      <c r="D56" s="245">
        <v>1982</v>
      </c>
      <c r="E56" s="245">
        <v>3</v>
      </c>
      <c r="F56" s="245">
        <v>24</v>
      </c>
      <c r="G56" s="245">
        <v>95</v>
      </c>
      <c r="H56" s="246">
        <v>1458.3</v>
      </c>
      <c r="I56" s="356"/>
      <c r="J56" s="356"/>
      <c r="K56" s="356"/>
      <c r="L56" s="356"/>
      <c r="M56" s="356"/>
      <c r="N56" s="356"/>
      <c r="O56" s="356"/>
      <c r="P56" s="356"/>
      <c r="Q56" s="356"/>
      <c r="R56" s="356"/>
      <c r="S56" s="356"/>
      <c r="T56" s="356"/>
      <c r="U56" s="176">
        <v>64138.879999999997</v>
      </c>
      <c r="V56" s="176">
        <v>70074.039999999994</v>
      </c>
      <c r="W56" s="176">
        <f t="shared" si="18"/>
        <v>96208.319999999992</v>
      </c>
      <c r="X56" s="176"/>
      <c r="Y56" s="533">
        <f t="shared" si="19"/>
        <v>32069.439999999995</v>
      </c>
      <c r="Z56" s="533">
        <f t="shared" si="20"/>
        <v>29248.591137826705</v>
      </c>
      <c r="AA56" s="540">
        <f t="shared" si="21"/>
        <v>96208.319999999992</v>
      </c>
      <c r="AB56" s="540">
        <f t="shared" si="22"/>
        <v>99322.631137826698</v>
      </c>
      <c r="AC56" s="745">
        <f t="shared" si="17"/>
        <v>98785.5</v>
      </c>
      <c r="AD56" s="130"/>
      <c r="AE56" s="533"/>
      <c r="AF56" s="534"/>
      <c r="AG56" s="534"/>
      <c r="AH56" s="534">
        <v>13386.09</v>
      </c>
      <c r="AI56" s="534">
        <v>85399.41</v>
      </c>
      <c r="AJ56" s="534"/>
      <c r="AK56" s="534"/>
      <c r="AL56" s="534"/>
      <c r="AM56" s="597"/>
      <c r="AN56" s="597">
        <f t="shared" si="23"/>
        <v>-2577.1800000000076</v>
      </c>
      <c r="AO56" s="738"/>
      <c r="AP56" s="738"/>
      <c r="AQ56" s="299"/>
      <c r="AR56" s="299"/>
      <c r="AS56" s="299"/>
      <c r="AT56" s="186"/>
      <c r="AU56" s="186"/>
      <c r="AV56" s="46"/>
      <c r="AW56" s="46"/>
      <c r="AX56" s="46"/>
      <c r="AY56" s="28"/>
      <c r="AZ56" s="46"/>
      <c r="BA56" s="46"/>
      <c r="BB56" s="46"/>
      <c r="BC56" s="23"/>
      <c r="BD56" s="28"/>
      <c r="BE56" s="23"/>
      <c r="BF56" s="47"/>
      <c r="BG56" s="47"/>
      <c r="BH56" s="48"/>
      <c r="BI56" s="47"/>
      <c r="BJ56" s="48"/>
      <c r="BK56" s="47"/>
      <c r="BL56" s="73"/>
      <c r="BM56" s="28"/>
    </row>
    <row r="57" spans="1:65" s="43" customFormat="1" x14ac:dyDescent="0.25">
      <c r="A57" s="15">
        <v>8</v>
      </c>
      <c r="B57" s="15"/>
      <c r="C57" s="163" t="s">
        <v>54</v>
      </c>
      <c r="D57" s="245">
        <v>1983</v>
      </c>
      <c r="E57" s="245">
        <v>3</v>
      </c>
      <c r="F57" s="245">
        <v>24</v>
      </c>
      <c r="G57" s="245">
        <v>83</v>
      </c>
      <c r="H57" s="246">
        <v>1446.6</v>
      </c>
      <c r="I57" s="356"/>
      <c r="J57" s="356"/>
      <c r="K57" s="356"/>
      <c r="L57" s="356"/>
      <c r="M57" s="356"/>
      <c r="N57" s="356"/>
      <c r="O57" s="356"/>
      <c r="P57" s="356"/>
      <c r="Q57" s="356"/>
      <c r="R57" s="356"/>
      <c r="S57" s="356"/>
      <c r="T57" s="356"/>
      <c r="U57" s="176">
        <v>63646.04</v>
      </c>
      <c r="V57" s="176">
        <v>69723.990000000005</v>
      </c>
      <c r="W57" s="176">
        <f t="shared" si="18"/>
        <v>95469.06</v>
      </c>
      <c r="X57" s="176"/>
      <c r="Y57" s="533">
        <f t="shared" si="19"/>
        <v>31823.019999999997</v>
      </c>
      <c r="Z57" s="533">
        <f t="shared" si="20"/>
        <v>30808.288675200514</v>
      </c>
      <c r="AA57" s="540">
        <f t="shared" si="21"/>
        <v>95469.06</v>
      </c>
      <c r="AB57" s="540">
        <f t="shared" si="22"/>
        <v>100532.27867520052</v>
      </c>
      <c r="AC57" s="745">
        <f t="shared" si="17"/>
        <v>28377.9</v>
      </c>
      <c r="AD57" s="130">
        <v>28377.9</v>
      </c>
      <c r="AE57" s="533"/>
      <c r="AF57" s="534"/>
      <c r="AG57" s="534"/>
      <c r="AH57" s="534"/>
      <c r="AI57" s="534"/>
      <c r="AJ57" s="534"/>
      <c r="AK57" s="534"/>
      <c r="AL57" s="534"/>
      <c r="AM57" s="597"/>
      <c r="AN57" s="597">
        <f t="shared" si="23"/>
        <v>67091.16</v>
      </c>
      <c r="AO57" s="738"/>
      <c r="AP57" s="738"/>
      <c r="AQ57" s="299"/>
      <c r="AR57" s="299"/>
      <c r="AS57" s="299"/>
      <c r="AT57" s="186"/>
      <c r="AU57" s="186"/>
      <c r="AV57" s="46"/>
      <c r="AW57" s="46"/>
      <c r="AX57" s="46"/>
      <c r="AY57" s="28"/>
      <c r="AZ57" s="46"/>
      <c r="BA57" s="46"/>
      <c r="BB57" s="46"/>
      <c r="BC57" s="23"/>
      <c r="BD57" s="28"/>
      <c r="BE57" s="23"/>
      <c r="BF57" s="47"/>
      <c r="BG57" s="47"/>
      <c r="BH57" s="48"/>
      <c r="BI57" s="47"/>
      <c r="BJ57" s="23"/>
      <c r="BK57" s="47"/>
      <c r="BL57" s="73"/>
      <c r="BM57" s="28"/>
    </row>
    <row r="58" spans="1:65" s="43" customFormat="1" x14ac:dyDescent="0.25">
      <c r="A58" s="15">
        <v>9</v>
      </c>
      <c r="B58" s="15"/>
      <c r="C58" s="163" t="s">
        <v>55</v>
      </c>
      <c r="D58" s="245">
        <v>1984</v>
      </c>
      <c r="E58" s="245">
        <v>3</v>
      </c>
      <c r="F58" s="245">
        <v>24</v>
      </c>
      <c r="G58" s="245">
        <v>68</v>
      </c>
      <c r="H58" s="246">
        <v>1448</v>
      </c>
      <c r="I58" s="356"/>
      <c r="J58" s="356"/>
      <c r="K58" s="356"/>
      <c r="L58" s="356"/>
      <c r="M58" s="356"/>
      <c r="N58" s="356"/>
      <c r="O58" s="356"/>
      <c r="P58" s="356"/>
      <c r="Q58" s="356"/>
      <c r="R58" s="356"/>
      <c r="S58" s="356"/>
      <c r="T58" s="356"/>
      <c r="U58" s="176">
        <v>63712</v>
      </c>
      <c r="V58" s="176">
        <v>75021.59</v>
      </c>
      <c r="W58" s="176">
        <f t="shared" si="18"/>
        <v>95568</v>
      </c>
      <c r="X58" s="176"/>
      <c r="Y58" s="533">
        <f t="shared" si="19"/>
        <v>31856</v>
      </c>
      <c r="Z58" s="533">
        <f t="shared" si="20"/>
        <v>31155.533617377951</v>
      </c>
      <c r="AA58" s="540">
        <f t="shared" si="21"/>
        <v>95568</v>
      </c>
      <c r="AB58" s="540">
        <f t="shared" si="22"/>
        <v>106177.12361737795</v>
      </c>
      <c r="AC58" s="745">
        <f t="shared" si="17"/>
        <v>45073.1</v>
      </c>
      <c r="AD58" s="130"/>
      <c r="AE58" s="533"/>
      <c r="AF58" s="534"/>
      <c r="AG58" s="534"/>
      <c r="AH58" s="534">
        <v>13386.1</v>
      </c>
      <c r="AI58" s="534"/>
      <c r="AJ58" s="534">
        <v>31687</v>
      </c>
      <c r="AK58" s="534"/>
      <c r="AL58" s="534"/>
      <c r="AM58" s="597"/>
      <c r="AN58" s="597">
        <f t="shared" si="23"/>
        <v>50494.9</v>
      </c>
      <c r="AO58" s="738"/>
      <c r="AP58" s="738"/>
      <c r="AQ58" s="299"/>
      <c r="AR58" s="299"/>
      <c r="AS58" s="299"/>
      <c r="AT58" s="186"/>
      <c r="AU58" s="186"/>
      <c r="AV58" s="46"/>
      <c r="AW58" s="46"/>
      <c r="AX58" s="46"/>
      <c r="AY58" s="28"/>
      <c r="AZ58" s="46"/>
      <c r="BA58" s="46"/>
      <c r="BB58" s="46"/>
      <c r="BC58" s="23"/>
      <c r="BD58" s="28"/>
      <c r="BE58" s="23"/>
      <c r="BF58" s="47"/>
      <c r="BG58" s="47"/>
      <c r="BH58" s="48"/>
      <c r="BI58" s="47"/>
      <c r="BJ58" s="48"/>
      <c r="BK58" s="47"/>
      <c r="BL58" s="73"/>
      <c r="BM58" s="28"/>
    </row>
    <row r="59" spans="1:65" s="43" customFormat="1" x14ac:dyDescent="0.25">
      <c r="A59" s="15">
        <v>10</v>
      </c>
      <c r="B59" s="15"/>
      <c r="C59" s="163" t="s">
        <v>56</v>
      </c>
      <c r="D59" s="245">
        <v>1987</v>
      </c>
      <c r="E59" s="245">
        <v>3</v>
      </c>
      <c r="F59" s="245">
        <v>27</v>
      </c>
      <c r="G59" s="245">
        <v>82</v>
      </c>
      <c r="H59" s="246">
        <v>1459.2</v>
      </c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176">
        <v>64240</v>
      </c>
      <c r="V59" s="176">
        <v>74168.27</v>
      </c>
      <c r="W59" s="176">
        <f t="shared" si="18"/>
        <v>96360</v>
      </c>
      <c r="X59" s="176"/>
      <c r="Y59" s="533">
        <f t="shared" si="19"/>
        <v>32120</v>
      </c>
      <c r="Z59" s="533">
        <f t="shared" si="20"/>
        <v>32161.232987379422</v>
      </c>
      <c r="AA59" s="540">
        <f t="shared" si="21"/>
        <v>96360</v>
      </c>
      <c r="AB59" s="540">
        <f t="shared" si="22"/>
        <v>106329.50298737943</v>
      </c>
      <c r="AC59" s="745">
        <f t="shared" si="17"/>
        <v>13784.62</v>
      </c>
      <c r="AD59" s="130"/>
      <c r="AE59" s="533"/>
      <c r="AF59" s="534"/>
      <c r="AG59" s="534"/>
      <c r="AH59" s="534">
        <v>13784.62</v>
      </c>
      <c r="AI59" s="534"/>
      <c r="AJ59" s="534"/>
      <c r="AK59" s="534"/>
      <c r="AL59" s="534"/>
      <c r="AM59" s="597"/>
      <c r="AN59" s="597">
        <f t="shared" si="23"/>
        <v>82575.38</v>
      </c>
      <c r="AO59" s="738"/>
      <c r="AP59" s="738"/>
      <c r="AQ59" s="299"/>
      <c r="AR59" s="299"/>
      <c r="AS59" s="299"/>
      <c r="AT59" s="186"/>
      <c r="AU59" s="186"/>
      <c r="AV59" s="46"/>
      <c r="AW59" s="46"/>
      <c r="AX59" s="46"/>
      <c r="AY59" s="28"/>
      <c r="AZ59" s="46"/>
      <c r="BA59" s="46"/>
      <c r="BB59" s="46"/>
      <c r="BC59" s="23"/>
      <c r="BD59" s="28"/>
      <c r="BE59" s="23"/>
      <c r="BF59" s="47"/>
      <c r="BG59" s="47"/>
      <c r="BH59" s="48"/>
      <c r="BI59" s="47"/>
      <c r="BJ59" s="48"/>
      <c r="BK59" s="47"/>
      <c r="BL59" s="73"/>
      <c r="BM59" s="28"/>
    </row>
    <row r="60" spans="1:65" s="71" customFormat="1" x14ac:dyDescent="0.25">
      <c r="A60" s="519">
        <v>11</v>
      </c>
      <c r="B60" s="205">
        <v>42491</v>
      </c>
      <c r="C60" s="164" t="s">
        <v>57</v>
      </c>
      <c r="D60" s="251">
        <v>1952</v>
      </c>
      <c r="E60" s="245">
        <v>1</v>
      </c>
      <c r="F60" s="245">
        <v>2</v>
      </c>
      <c r="G60" s="245">
        <v>5</v>
      </c>
      <c r="H60" s="246">
        <v>58.6</v>
      </c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176"/>
      <c r="V60" s="176"/>
      <c r="W60" s="176">
        <f t="shared" si="18"/>
        <v>0</v>
      </c>
      <c r="X60" s="176"/>
      <c r="Y60" s="533">
        <f t="shared" si="19"/>
        <v>0</v>
      </c>
      <c r="Z60" s="533">
        <f t="shared" si="20"/>
        <v>0</v>
      </c>
      <c r="AA60" s="540">
        <f t="shared" si="21"/>
        <v>0</v>
      </c>
      <c r="AB60" s="540">
        <f t="shared" si="22"/>
        <v>0</v>
      </c>
      <c r="AC60" s="745"/>
      <c r="AD60" s="130"/>
      <c r="AE60" s="533"/>
      <c r="AF60" s="534"/>
      <c r="AG60" s="534"/>
      <c r="AH60" s="534"/>
      <c r="AI60" s="534"/>
      <c r="AJ60" s="534"/>
      <c r="AK60" s="534"/>
      <c r="AL60" s="534"/>
      <c r="AM60" s="597"/>
      <c r="AN60" s="597">
        <f t="shared" si="23"/>
        <v>0</v>
      </c>
      <c r="AO60" s="738"/>
      <c r="AP60" s="738"/>
      <c r="AQ60" s="299"/>
      <c r="AR60" s="299"/>
      <c r="AS60" s="299"/>
      <c r="AT60" s="186"/>
      <c r="AU60" s="186"/>
      <c r="AV60" s="46"/>
      <c r="AW60" s="46"/>
      <c r="AX60" s="46"/>
      <c r="AY60" s="28"/>
      <c r="AZ60" s="46"/>
      <c r="BA60" s="46"/>
      <c r="BB60" s="46"/>
      <c r="BC60" s="23"/>
      <c r="BD60" s="28"/>
      <c r="BE60" s="23"/>
      <c r="BF60" s="47"/>
      <c r="BG60" s="47"/>
      <c r="BH60" s="48"/>
      <c r="BI60" s="47"/>
      <c r="BJ60" s="48"/>
      <c r="BK60" s="47"/>
      <c r="BL60" s="73"/>
      <c r="BM60" s="28"/>
    </row>
    <row r="61" spans="1:65" s="71" customFormat="1" x14ac:dyDescent="0.25">
      <c r="A61" s="519">
        <v>12</v>
      </c>
      <c r="B61" s="205">
        <v>42461</v>
      </c>
      <c r="C61" s="164" t="s">
        <v>58</v>
      </c>
      <c r="D61" s="251">
        <v>1940</v>
      </c>
      <c r="E61" s="245">
        <v>1</v>
      </c>
      <c r="F61" s="245">
        <v>1</v>
      </c>
      <c r="G61" s="245">
        <v>8</v>
      </c>
      <c r="H61" s="246">
        <v>29.9</v>
      </c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176"/>
      <c r="V61" s="176"/>
      <c r="W61" s="176">
        <f t="shared" si="18"/>
        <v>0</v>
      </c>
      <c r="X61" s="176"/>
      <c r="Y61" s="533">
        <f t="shared" si="19"/>
        <v>0</v>
      </c>
      <c r="Z61" s="533">
        <f t="shared" si="20"/>
        <v>0</v>
      </c>
      <c r="AA61" s="540">
        <f t="shared" si="21"/>
        <v>0</v>
      </c>
      <c r="AB61" s="540">
        <f t="shared" si="22"/>
        <v>0</v>
      </c>
      <c r="AC61" s="745"/>
      <c r="AD61" s="130"/>
      <c r="AE61" s="533"/>
      <c r="AF61" s="534"/>
      <c r="AG61" s="534"/>
      <c r="AH61" s="534"/>
      <c r="AI61" s="534"/>
      <c r="AJ61" s="534"/>
      <c r="AK61" s="534"/>
      <c r="AL61" s="534"/>
      <c r="AM61" s="597"/>
      <c r="AN61" s="597">
        <f t="shared" si="23"/>
        <v>0</v>
      </c>
      <c r="AO61" s="738"/>
      <c r="AP61" s="738"/>
      <c r="AQ61" s="299"/>
      <c r="AR61" s="299"/>
      <c r="AS61" s="299"/>
      <c r="AT61" s="186"/>
      <c r="AU61" s="186"/>
      <c r="AV61" s="46"/>
      <c r="AW61" s="46"/>
      <c r="AX61" s="46"/>
      <c r="AY61" s="28"/>
      <c r="AZ61" s="46"/>
      <c r="BA61" s="46"/>
      <c r="BB61" s="46"/>
      <c r="BC61" s="23"/>
      <c r="BD61" s="28"/>
      <c r="BE61" s="23"/>
      <c r="BF61" s="47"/>
      <c r="BG61" s="47"/>
      <c r="BH61" s="48"/>
      <c r="BI61" s="47"/>
      <c r="BJ61" s="48"/>
      <c r="BK61" s="47"/>
      <c r="BL61" s="73"/>
      <c r="BM61" s="28"/>
    </row>
    <row r="62" spans="1:65" s="71" customFormat="1" x14ac:dyDescent="0.25">
      <c r="A62" s="519">
        <v>13</v>
      </c>
      <c r="B62" s="205">
        <v>42461</v>
      </c>
      <c r="C62" s="164" t="s">
        <v>59</v>
      </c>
      <c r="D62" s="251">
        <v>1943</v>
      </c>
      <c r="E62" s="245">
        <v>1</v>
      </c>
      <c r="F62" s="245">
        <v>1</v>
      </c>
      <c r="G62" s="245">
        <v>3</v>
      </c>
      <c r="H62" s="246">
        <v>44.6</v>
      </c>
      <c r="I62" s="356"/>
      <c r="J62" s="356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176"/>
      <c r="V62" s="176"/>
      <c r="W62" s="176">
        <f t="shared" si="18"/>
        <v>0</v>
      </c>
      <c r="X62" s="176"/>
      <c r="Y62" s="533">
        <f t="shared" si="19"/>
        <v>0</v>
      </c>
      <c r="Z62" s="533">
        <f t="shared" si="20"/>
        <v>0</v>
      </c>
      <c r="AA62" s="540">
        <f t="shared" si="21"/>
        <v>0</v>
      </c>
      <c r="AB62" s="540">
        <f t="shared" si="22"/>
        <v>0</v>
      </c>
      <c r="AC62" s="745"/>
      <c r="AD62" s="130"/>
      <c r="AE62" s="533"/>
      <c r="AF62" s="534"/>
      <c r="AG62" s="534"/>
      <c r="AH62" s="534"/>
      <c r="AI62" s="534"/>
      <c r="AJ62" s="534"/>
      <c r="AK62" s="534"/>
      <c r="AL62" s="534"/>
      <c r="AM62" s="597"/>
      <c r="AN62" s="597">
        <f t="shared" si="23"/>
        <v>0</v>
      </c>
      <c r="AO62" s="738"/>
      <c r="AP62" s="738"/>
      <c r="AQ62" s="299"/>
      <c r="AR62" s="299"/>
      <c r="AS62" s="299"/>
      <c r="AT62" s="186"/>
      <c r="AU62" s="186"/>
      <c r="AV62" s="46"/>
      <c r="AW62" s="46"/>
      <c r="AX62" s="46"/>
      <c r="AY62" s="28"/>
      <c r="AZ62" s="46"/>
      <c r="BA62" s="46"/>
      <c r="BB62" s="46"/>
      <c r="BC62" s="23"/>
      <c r="BD62" s="28"/>
      <c r="BE62" s="23"/>
      <c r="BF62" s="47"/>
      <c r="BG62" s="47"/>
      <c r="BH62" s="48"/>
      <c r="BI62" s="47"/>
      <c r="BJ62" s="48"/>
      <c r="BK62" s="47"/>
      <c r="BL62" s="73"/>
      <c r="BM62" s="28"/>
    </row>
    <row r="63" spans="1:65" s="71" customFormat="1" x14ac:dyDescent="0.25">
      <c r="A63" s="519">
        <v>14</v>
      </c>
      <c r="B63" s="205"/>
      <c r="C63" s="164" t="s">
        <v>60</v>
      </c>
      <c r="D63" s="251">
        <v>1962</v>
      </c>
      <c r="E63" s="245">
        <v>1</v>
      </c>
      <c r="F63" s="245">
        <v>2</v>
      </c>
      <c r="G63" s="245">
        <v>7</v>
      </c>
      <c r="H63" s="246">
        <v>85.8</v>
      </c>
      <c r="I63" s="356"/>
      <c r="J63" s="356"/>
      <c r="K63" s="356"/>
      <c r="L63" s="356"/>
      <c r="M63" s="356"/>
      <c r="N63" s="356"/>
      <c r="O63" s="356"/>
      <c r="P63" s="356"/>
      <c r="Q63" s="356"/>
      <c r="R63" s="356"/>
      <c r="S63" s="356"/>
      <c r="T63" s="356"/>
      <c r="U63" s="176"/>
      <c r="V63" s="176"/>
      <c r="W63" s="176">
        <f t="shared" si="18"/>
        <v>0</v>
      </c>
      <c r="X63" s="176"/>
      <c r="Y63" s="533">
        <f t="shared" si="19"/>
        <v>0</v>
      </c>
      <c r="Z63" s="533">
        <f t="shared" si="20"/>
        <v>0</v>
      </c>
      <c r="AA63" s="540">
        <f t="shared" si="21"/>
        <v>0</v>
      </c>
      <c r="AB63" s="540">
        <f t="shared" si="22"/>
        <v>0</v>
      </c>
      <c r="AC63" s="745"/>
      <c r="AD63" s="130"/>
      <c r="AE63" s="533"/>
      <c r="AF63" s="534"/>
      <c r="AG63" s="534"/>
      <c r="AH63" s="534"/>
      <c r="AI63" s="534"/>
      <c r="AJ63" s="534"/>
      <c r="AK63" s="534"/>
      <c r="AL63" s="534"/>
      <c r="AM63" s="597"/>
      <c r="AN63" s="597">
        <f t="shared" si="23"/>
        <v>0</v>
      </c>
      <c r="AO63" s="738"/>
      <c r="AP63" s="738"/>
      <c r="AQ63" s="299"/>
      <c r="AR63" s="299"/>
      <c r="AS63" s="299"/>
      <c r="AT63" s="186"/>
      <c r="AU63" s="186"/>
      <c r="AV63" s="46"/>
      <c r="AW63" s="46"/>
      <c r="AX63" s="46"/>
      <c r="AY63" s="28"/>
      <c r="AZ63" s="46"/>
      <c r="BA63" s="46"/>
      <c r="BB63" s="46"/>
      <c r="BC63" s="23"/>
      <c r="BD63" s="28"/>
      <c r="BE63" s="23"/>
      <c r="BF63" s="47"/>
      <c r="BG63" s="47"/>
      <c r="BH63" s="48"/>
      <c r="BI63" s="47"/>
      <c r="BJ63" s="48"/>
      <c r="BK63" s="47"/>
      <c r="BL63" s="73"/>
      <c r="BM63" s="28"/>
    </row>
    <row r="64" spans="1:65" s="43" customFormat="1" x14ac:dyDescent="0.25">
      <c r="A64" s="15">
        <v>15</v>
      </c>
      <c r="B64" s="15"/>
      <c r="C64" s="163" t="s">
        <v>61</v>
      </c>
      <c r="D64" s="245">
        <v>1968</v>
      </c>
      <c r="E64" s="245">
        <v>2</v>
      </c>
      <c r="F64" s="245">
        <v>16</v>
      </c>
      <c r="G64" s="245">
        <v>36</v>
      </c>
      <c r="H64" s="246">
        <v>722.8</v>
      </c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176">
        <v>31595.38</v>
      </c>
      <c r="V64" s="176">
        <v>29902.15</v>
      </c>
      <c r="W64" s="176">
        <f t="shared" si="18"/>
        <v>47393.07</v>
      </c>
      <c r="X64" s="176"/>
      <c r="Y64" s="533">
        <f t="shared" si="19"/>
        <v>15797.689999999999</v>
      </c>
      <c r="Z64" s="533">
        <f t="shared" si="20"/>
        <v>12098.105558035924</v>
      </c>
      <c r="AA64" s="540">
        <f t="shared" si="21"/>
        <v>47393.07</v>
      </c>
      <c r="AB64" s="540">
        <f t="shared" si="22"/>
        <v>42000.255558035926</v>
      </c>
      <c r="AC64" s="745">
        <f>AD64+AE64+AF64+AG64+AH64+AI64+AJ64+AK64+AL64+AM64</f>
        <v>0</v>
      </c>
      <c r="AD64" s="130"/>
      <c r="AE64" s="533"/>
      <c r="AF64" s="534"/>
      <c r="AG64" s="534"/>
      <c r="AH64" s="534"/>
      <c r="AI64" s="534"/>
      <c r="AJ64" s="534"/>
      <c r="AK64" s="534"/>
      <c r="AL64" s="534"/>
      <c r="AM64" s="597"/>
      <c r="AN64" s="597">
        <f t="shared" si="23"/>
        <v>47393.07</v>
      </c>
      <c r="AO64" s="738"/>
      <c r="AP64" s="738"/>
      <c r="AQ64" s="299"/>
      <c r="AR64" s="299"/>
      <c r="AS64" s="299"/>
      <c r="AT64" s="186"/>
      <c r="AU64" s="186"/>
      <c r="AV64" s="46"/>
      <c r="AW64" s="46"/>
      <c r="AX64" s="46"/>
      <c r="AY64" s="28"/>
      <c r="AZ64" s="46"/>
      <c r="BA64" s="46"/>
      <c r="BB64" s="46"/>
      <c r="BC64" s="23"/>
      <c r="BD64" s="28"/>
      <c r="BE64" s="23"/>
      <c r="BF64" s="47"/>
      <c r="BG64" s="47"/>
      <c r="BH64" s="48"/>
      <c r="BI64" s="47"/>
      <c r="BJ64" s="23"/>
      <c r="BK64" s="47"/>
      <c r="BL64" s="73"/>
      <c r="BM64" s="28"/>
    </row>
    <row r="65" spans="1:65" s="43" customFormat="1" x14ac:dyDescent="0.25">
      <c r="A65" s="15">
        <v>16</v>
      </c>
      <c r="B65" s="15"/>
      <c r="C65" s="163" t="s">
        <v>62</v>
      </c>
      <c r="D65" s="245">
        <v>1971</v>
      </c>
      <c r="E65" s="245">
        <v>2</v>
      </c>
      <c r="F65" s="245">
        <v>16</v>
      </c>
      <c r="G65" s="245">
        <v>47</v>
      </c>
      <c r="H65" s="246">
        <v>727.4</v>
      </c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356"/>
      <c r="U65" s="176">
        <v>32001.19</v>
      </c>
      <c r="V65" s="176">
        <v>33730.639999999999</v>
      </c>
      <c r="W65" s="176">
        <f t="shared" si="18"/>
        <v>48001.784999999996</v>
      </c>
      <c r="X65" s="176"/>
      <c r="Y65" s="533">
        <f t="shared" si="19"/>
        <v>16000.594999999998</v>
      </c>
      <c r="Z65" s="533">
        <f t="shared" si="20"/>
        <v>13395.320701841818</v>
      </c>
      <c r="AA65" s="540">
        <f t="shared" si="21"/>
        <v>48001.784999999996</v>
      </c>
      <c r="AB65" s="540">
        <f t="shared" si="22"/>
        <v>47125.960701841817</v>
      </c>
      <c r="AC65" s="745">
        <f>AD65+AE65+AF65+AG65+AH65+AI65+AJ65+AK65+AL65+AM65</f>
        <v>0</v>
      </c>
      <c r="AD65" s="130"/>
      <c r="AE65" s="533"/>
      <c r="AF65" s="534"/>
      <c r="AG65" s="534"/>
      <c r="AH65" s="534"/>
      <c r="AI65" s="534"/>
      <c r="AJ65" s="534"/>
      <c r="AK65" s="534"/>
      <c r="AL65" s="534"/>
      <c r="AM65" s="597"/>
      <c r="AN65" s="597">
        <f t="shared" si="23"/>
        <v>48001.784999999996</v>
      </c>
      <c r="AO65" s="738"/>
      <c r="AP65" s="738"/>
      <c r="AQ65" s="299"/>
      <c r="AR65" s="299"/>
      <c r="AS65" s="299"/>
      <c r="AT65" s="186"/>
      <c r="AU65" s="186"/>
      <c r="AV65" s="46"/>
      <c r="AW65" s="46"/>
      <c r="AX65" s="46"/>
      <c r="AY65" s="28"/>
      <c r="AZ65" s="46"/>
      <c r="BA65" s="46"/>
      <c r="BB65" s="46"/>
      <c r="BC65" s="23"/>
      <c r="BD65" s="28"/>
      <c r="BE65" s="23"/>
      <c r="BF65" s="47"/>
      <c r="BG65" s="47"/>
      <c r="BH65" s="48"/>
      <c r="BI65" s="47"/>
      <c r="BJ65" s="23"/>
      <c r="BK65" s="47"/>
      <c r="BL65" s="73"/>
      <c r="BM65" s="28"/>
    </row>
    <row r="66" spans="1:65" s="71" customFormat="1" x14ac:dyDescent="0.25">
      <c r="A66" s="116">
        <v>17</v>
      </c>
      <c r="B66" s="116"/>
      <c r="C66" s="163" t="s">
        <v>63</v>
      </c>
      <c r="D66" s="245">
        <v>1960</v>
      </c>
      <c r="E66" s="245">
        <v>2</v>
      </c>
      <c r="F66" s="245">
        <v>16</v>
      </c>
      <c r="G66" s="245">
        <v>44</v>
      </c>
      <c r="H66" s="246">
        <v>724.7</v>
      </c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181">
        <v>31886.799999999999</v>
      </c>
      <c r="V66" s="181">
        <v>33840.620000000003</v>
      </c>
      <c r="W66" s="176">
        <f t="shared" si="18"/>
        <v>47830.2</v>
      </c>
      <c r="X66" s="176"/>
      <c r="Y66" s="533">
        <f t="shared" si="19"/>
        <v>15943.399999999998</v>
      </c>
      <c r="Z66" s="533">
        <f t="shared" si="20"/>
        <v>14731.626791559698</v>
      </c>
      <c r="AA66" s="540">
        <f t="shared" si="21"/>
        <v>47830.2</v>
      </c>
      <c r="AB66" s="540">
        <f t="shared" si="22"/>
        <v>48572.246791559701</v>
      </c>
      <c r="AC66" s="745">
        <f>AD66+AE66+AF66+AG66+AH66+AI66+AJ66+AK66+AL66+AM66</f>
        <v>0</v>
      </c>
      <c r="AD66" s="531"/>
      <c r="AE66" s="535"/>
      <c r="AF66" s="534"/>
      <c r="AG66" s="534"/>
      <c r="AH66" s="534"/>
      <c r="AI66" s="534"/>
      <c r="AJ66" s="534"/>
      <c r="AK66" s="534"/>
      <c r="AL66" s="534"/>
      <c r="AM66" s="597"/>
      <c r="AN66" s="597">
        <f t="shared" si="23"/>
        <v>47830.2</v>
      </c>
      <c r="AO66" s="738"/>
      <c r="AP66" s="738"/>
      <c r="AQ66" s="299"/>
      <c r="AR66" s="299"/>
      <c r="AS66" s="299"/>
      <c r="AT66" s="186"/>
      <c r="AU66" s="186"/>
      <c r="AV66" s="46"/>
      <c r="AW66" s="46"/>
      <c r="AX66" s="46"/>
      <c r="AY66" s="28"/>
      <c r="AZ66" s="46"/>
      <c r="BA66" s="46"/>
      <c r="BB66" s="46"/>
      <c r="BC66" s="23"/>
      <c r="BD66" s="28"/>
      <c r="BE66" s="23"/>
      <c r="BF66" s="47"/>
      <c r="BG66" s="47"/>
      <c r="BH66" s="48"/>
      <c r="BI66" s="47"/>
      <c r="BJ66" s="23"/>
      <c r="BK66" s="47"/>
      <c r="BL66" s="73"/>
      <c r="BM66" s="28"/>
    </row>
    <row r="67" spans="1:65" s="71" customFormat="1" x14ac:dyDescent="0.25">
      <c r="A67" s="116">
        <v>18</v>
      </c>
      <c r="B67" s="116"/>
      <c r="C67" s="164" t="s">
        <v>64</v>
      </c>
      <c r="D67" s="251">
        <v>1961</v>
      </c>
      <c r="E67" s="245">
        <v>1</v>
      </c>
      <c r="F67" s="245">
        <v>1</v>
      </c>
      <c r="G67" s="245">
        <v>1</v>
      </c>
      <c r="H67" s="293">
        <v>44</v>
      </c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181"/>
      <c r="V67" s="181"/>
      <c r="W67" s="176">
        <f t="shared" si="18"/>
        <v>0</v>
      </c>
      <c r="X67" s="176"/>
      <c r="Y67" s="533">
        <f t="shared" si="19"/>
        <v>0</v>
      </c>
      <c r="Z67" s="533">
        <f t="shared" si="20"/>
        <v>0</v>
      </c>
      <c r="AA67" s="540">
        <f t="shared" si="21"/>
        <v>0</v>
      </c>
      <c r="AB67" s="540">
        <f t="shared" si="22"/>
        <v>0</v>
      </c>
      <c r="AC67" s="745"/>
      <c r="AD67" s="531"/>
      <c r="AE67" s="535"/>
      <c r="AF67" s="536"/>
      <c r="AG67" s="536"/>
      <c r="AH67" s="536"/>
      <c r="AI67" s="536"/>
      <c r="AJ67" s="534"/>
      <c r="AK67" s="534"/>
      <c r="AL67" s="534"/>
      <c r="AM67" s="597"/>
      <c r="AN67" s="597">
        <f t="shared" si="23"/>
        <v>0</v>
      </c>
      <c r="AO67" s="738"/>
      <c r="AP67" s="738"/>
      <c r="AQ67" s="299"/>
      <c r="AR67" s="299"/>
      <c r="AS67" s="299"/>
      <c r="AT67" s="186"/>
      <c r="AU67" s="186"/>
      <c r="AV67" s="46"/>
      <c r="AW67" s="46"/>
      <c r="AX67" s="46"/>
      <c r="AY67" s="28"/>
      <c r="AZ67" s="46"/>
      <c r="BA67" s="46"/>
      <c r="BB67" s="46"/>
      <c r="BC67" s="23"/>
      <c r="BD67" s="28"/>
      <c r="BE67" s="23"/>
      <c r="BF67" s="47"/>
      <c r="BG67" s="47"/>
      <c r="BH67" s="48"/>
      <c r="BI67" s="47"/>
      <c r="BJ67" s="23"/>
      <c r="BK67" s="47"/>
      <c r="BL67" s="73"/>
      <c r="BM67" s="28"/>
    </row>
    <row r="68" spans="1:65" s="71" customFormat="1" x14ac:dyDescent="0.25">
      <c r="A68" s="116">
        <v>19</v>
      </c>
      <c r="B68" s="116"/>
      <c r="C68" s="164" t="s">
        <v>65</v>
      </c>
      <c r="D68" s="251">
        <v>1962</v>
      </c>
      <c r="E68" s="245">
        <v>1</v>
      </c>
      <c r="F68" s="245">
        <v>2</v>
      </c>
      <c r="G68" s="245">
        <v>6</v>
      </c>
      <c r="H68" s="293">
        <v>88</v>
      </c>
      <c r="I68" s="360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181"/>
      <c r="V68" s="181"/>
      <c r="W68" s="176">
        <f t="shared" si="18"/>
        <v>0</v>
      </c>
      <c r="X68" s="176"/>
      <c r="Y68" s="533">
        <f t="shared" si="19"/>
        <v>0</v>
      </c>
      <c r="Z68" s="533">
        <f t="shared" si="20"/>
        <v>0</v>
      </c>
      <c r="AA68" s="540">
        <f t="shared" si="21"/>
        <v>0</v>
      </c>
      <c r="AB68" s="540">
        <f t="shared" si="22"/>
        <v>0</v>
      </c>
      <c r="AC68" s="745"/>
      <c r="AD68" s="531"/>
      <c r="AE68" s="535"/>
      <c r="AF68" s="536"/>
      <c r="AG68" s="536"/>
      <c r="AH68" s="536"/>
      <c r="AI68" s="536"/>
      <c r="AJ68" s="534"/>
      <c r="AK68" s="534"/>
      <c r="AL68" s="534"/>
      <c r="AM68" s="597"/>
      <c r="AN68" s="597">
        <f t="shared" si="23"/>
        <v>0</v>
      </c>
      <c r="AO68" s="738"/>
      <c r="AP68" s="738"/>
      <c r="AQ68" s="299"/>
      <c r="AR68" s="299"/>
      <c r="AS68" s="299"/>
      <c r="AT68" s="186"/>
      <c r="AU68" s="186"/>
      <c r="AV68" s="46"/>
      <c r="AW68" s="46"/>
      <c r="AX68" s="46"/>
      <c r="AY68" s="28"/>
      <c r="AZ68" s="46"/>
      <c r="BA68" s="46"/>
      <c r="BB68" s="46"/>
      <c r="BC68" s="23"/>
      <c r="BD68" s="28"/>
      <c r="BE68" s="23"/>
      <c r="BF68" s="47"/>
      <c r="BG68" s="47"/>
      <c r="BH68" s="48"/>
      <c r="BI68" s="47"/>
      <c r="BJ68" s="23"/>
      <c r="BK68" s="47"/>
      <c r="BL68" s="73"/>
      <c r="BM68" s="28"/>
    </row>
    <row r="69" spans="1:65" s="71" customFormat="1" x14ac:dyDescent="0.25">
      <c r="A69" s="116">
        <v>20</v>
      </c>
      <c r="B69" s="116"/>
      <c r="C69" s="164" t="s">
        <v>66</v>
      </c>
      <c r="D69" s="251">
        <v>1964</v>
      </c>
      <c r="E69" s="245">
        <v>1</v>
      </c>
      <c r="F69" s="245">
        <v>4</v>
      </c>
      <c r="G69" s="245">
        <v>6</v>
      </c>
      <c r="H69" s="293">
        <v>102.7</v>
      </c>
      <c r="I69" s="360"/>
      <c r="J69" s="360"/>
      <c r="K69" s="360"/>
      <c r="L69" s="360"/>
      <c r="M69" s="360"/>
      <c r="N69" s="360"/>
      <c r="O69" s="360"/>
      <c r="P69" s="360"/>
      <c r="Q69" s="360"/>
      <c r="R69" s="360"/>
      <c r="S69" s="360"/>
      <c r="T69" s="360"/>
      <c r="U69" s="181"/>
      <c r="V69" s="181"/>
      <c r="W69" s="176">
        <f t="shared" si="18"/>
        <v>0</v>
      </c>
      <c r="X69" s="176"/>
      <c r="Y69" s="533">
        <f t="shared" si="19"/>
        <v>0</v>
      </c>
      <c r="Z69" s="533">
        <f t="shared" si="20"/>
        <v>0</v>
      </c>
      <c r="AA69" s="540">
        <f t="shared" si="21"/>
        <v>0</v>
      </c>
      <c r="AB69" s="540">
        <f t="shared" si="22"/>
        <v>0</v>
      </c>
      <c r="AC69" s="745"/>
      <c r="AD69" s="531"/>
      <c r="AE69" s="535"/>
      <c r="AF69" s="536"/>
      <c r="AG69" s="536"/>
      <c r="AH69" s="536"/>
      <c r="AI69" s="536"/>
      <c r="AJ69" s="534"/>
      <c r="AK69" s="534"/>
      <c r="AL69" s="534"/>
      <c r="AM69" s="597"/>
      <c r="AN69" s="597">
        <f t="shared" si="23"/>
        <v>0</v>
      </c>
      <c r="AO69" s="738"/>
      <c r="AP69" s="738"/>
      <c r="AQ69" s="299"/>
      <c r="AR69" s="299"/>
      <c r="AS69" s="299"/>
      <c r="AT69" s="186"/>
      <c r="AU69" s="186"/>
      <c r="AV69" s="46"/>
      <c r="AW69" s="46"/>
      <c r="AX69" s="46"/>
      <c r="AY69" s="28"/>
      <c r="AZ69" s="46"/>
      <c r="BA69" s="46"/>
      <c r="BB69" s="46"/>
      <c r="BC69" s="23"/>
      <c r="BD69" s="28"/>
      <c r="BE69" s="23"/>
      <c r="BF69" s="47"/>
      <c r="BG69" s="47"/>
      <c r="BH69" s="48"/>
      <c r="BI69" s="47"/>
      <c r="BJ69" s="23"/>
      <c r="BK69" s="47"/>
      <c r="BL69" s="73"/>
      <c r="BM69" s="28"/>
    </row>
    <row r="70" spans="1:65" s="71" customFormat="1" x14ac:dyDescent="0.25">
      <c r="A70" s="116">
        <v>21</v>
      </c>
      <c r="B70" s="116"/>
      <c r="C70" s="164" t="s">
        <v>67</v>
      </c>
      <c r="D70" s="251">
        <v>1961</v>
      </c>
      <c r="E70" s="245">
        <v>1</v>
      </c>
      <c r="F70" s="245">
        <v>2</v>
      </c>
      <c r="G70" s="245">
        <v>4</v>
      </c>
      <c r="H70" s="293">
        <v>44</v>
      </c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181"/>
      <c r="V70" s="181"/>
      <c r="W70" s="176">
        <f t="shared" si="18"/>
        <v>0</v>
      </c>
      <c r="X70" s="176"/>
      <c r="Y70" s="533">
        <f t="shared" si="19"/>
        <v>0</v>
      </c>
      <c r="Z70" s="533">
        <f t="shared" si="20"/>
        <v>0</v>
      </c>
      <c r="AA70" s="540">
        <f t="shared" si="21"/>
        <v>0</v>
      </c>
      <c r="AB70" s="540">
        <f t="shared" si="22"/>
        <v>0</v>
      </c>
      <c r="AC70" s="745"/>
      <c r="AD70" s="531"/>
      <c r="AE70" s="535"/>
      <c r="AF70" s="536"/>
      <c r="AG70" s="536"/>
      <c r="AH70" s="536"/>
      <c r="AI70" s="536"/>
      <c r="AJ70" s="534"/>
      <c r="AK70" s="534"/>
      <c r="AL70" s="534"/>
      <c r="AM70" s="597"/>
      <c r="AN70" s="597">
        <f t="shared" si="23"/>
        <v>0</v>
      </c>
      <c r="AO70" s="738"/>
      <c r="AP70" s="738"/>
      <c r="AQ70" s="299"/>
      <c r="AR70" s="299"/>
      <c r="AS70" s="299"/>
      <c r="AT70" s="186"/>
      <c r="AU70" s="186"/>
      <c r="AV70" s="46"/>
      <c r="AW70" s="46"/>
      <c r="AX70" s="46"/>
      <c r="AY70" s="28"/>
      <c r="AZ70" s="46"/>
      <c r="BA70" s="46"/>
      <c r="BB70" s="46"/>
      <c r="BC70" s="23"/>
      <c r="BD70" s="28"/>
      <c r="BE70" s="23"/>
      <c r="BF70" s="47"/>
      <c r="BG70" s="47"/>
      <c r="BH70" s="48"/>
      <c r="BI70" s="47"/>
      <c r="BJ70" s="23"/>
      <c r="BK70" s="47"/>
      <c r="BL70" s="73"/>
      <c r="BM70" s="28"/>
    </row>
    <row r="71" spans="1:65" s="71" customFormat="1" x14ac:dyDescent="0.25">
      <c r="A71" s="116">
        <v>22</v>
      </c>
      <c r="B71" s="116"/>
      <c r="C71" s="164" t="s">
        <v>68</v>
      </c>
      <c r="D71" s="251">
        <v>1961</v>
      </c>
      <c r="E71" s="245">
        <v>1</v>
      </c>
      <c r="F71" s="245">
        <v>2</v>
      </c>
      <c r="G71" s="245">
        <v>4</v>
      </c>
      <c r="H71" s="293">
        <v>108.1</v>
      </c>
      <c r="I71" s="360"/>
      <c r="J71" s="360"/>
      <c r="K71" s="360"/>
      <c r="L71" s="360"/>
      <c r="M71" s="360"/>
      <c r="N71" s="360"/>
      <c r="O71" s="360"/>
      <c r="P71" s="360"/>
      <c r="Q71" s="360"/>
      <c r="R71" s="360"/>
      <c r="S71" s="360"/>
      <c r="T71" s="360"/>
      <c r="U71" s="181"/>
      <c r="V71" s="181"/>
      <c r="W71" s="176">
        <f t="shared" si="18"/>
        <v>0</v>
      </c>
      <c r="X71" s="176"/>
      <c r="Y71" s="533">
        <f t="shared" si="19"/>
        <v>0</v>
      </c>
      <c r="Z71" s="533">
        <f t="shared" si="20"/>
        <v>0</v>
      </c>
      <c r="AA71" s="540">
        <f t="shared" si="21"/>
        <v>0</v>
      </c>
      <c r="AB71" s="540">
        <f t="shared" si="22"/>
        <v>0</v>
      </c>
      <c r="AC71" s="745"/>
      <c r="AD71" s="531"/>
      <c r="AE71" s="535"/>
      <c r="AF71" s="536"/>
      <c r="AG71" s="536"/>
      <c r="AH71" s="536"/>
      <c r="AI71" s="536"/>
      <c r="AJ71" s="534"/>
      <c r="AK71" s="534"/>
      <c r="AL71" s="534"/>
      <c r="AM71" s="597"/>
      <c r="AN71" s="597">
        <f t="shared" si="23"/>
        <v>0</v>
      </c>
      <c r="AO71" s="738"/>
      <c r="AP71" s="738"/>
      <c r="AQ71" s="299"/>
      <c r="AR71" s="299"/>
      <c r="AS71" s="299"/>
      <c r="AT71" s="186"/>
      <c r="AU71" s="186"/>
      <c r="AV71" s="46"/>
      <c r="AW71" s="46"/>
      <c r="AX71" s="46"/>
      <c r="AY71" s="28"/>
      <c r="AZ71" s="46"/>
      <c r="BA71" s="46"/>
      <c r="BB71" s="46"/>
      <c r="BC71" s="23"/>
      <c r="BD71" s="28"/>
      <c r="BE71" s="23"/>
      <c r="BF71" s="47"/>
      <c r="BG71" s="47"/>
      <c r="BH71" s="48"/>
      <c r="BI71" s="47"/>
      <c r="BJ71" s="23"/>
      <c r="BK71" s="47"/>
      <c r="BL71" s="73"/>
      <c r="BM71" s="28"/>
    </row>
    <row r="72" spans="1:65" s="71" customFormat="1" x14ac:dyDescent="0.25">
      <c r="A72" s="116">
        <v>23</v>
      </c>
      <c r="B72" s="116"/>
      <c r="C72" s="164" t="s">
        <v>69</v>
      </c>
      <c r="D72" s="251">
        <v>1961</v>
      </c>
      <c r="E72" s="245">
        <v>1</v>
      </c>
      <c r="F72" s="245">
        <v>2</v>
      </c>
      <c r="G72" s="245">
        <v>13</v>
      </c>
      <c r="H72" s="293">
        <v>102.4</v>
      </c>
      <c r="I72" s="360"/>
      <c r="J72" s="360"/>
      <c r="K72" s="360"/>
      <c r="L72" s="360"/>
      <c r="M72" s="360"/>
      <c r="N72" s="360"/>
      <c r="O72" s="360"/>
      <c r="P72" s="360"/>
      <c r="Q72" s="360"/>
      <c r="R72" s="360"/>
      <c r="S72" s="360"/>
      <c r="T72" s="360"/>
      <c r="U72" s="181"/>
      <c r="V72" s="181"/>
      <c r="W72" s="176">
        <f t="shared" si="18"/>
        <v>0</v>
      </c>
      <c r="X72" s="176"/>
      <c r="Y72" s="533">
        <f t="shared" si="19"/>
        <v>0</v>
      </c>
      <c r="Z72" s="533">
        <f t="shared" si="20"/>
        <v>0</v>
      </c>
      <c r="AA72" s="540">
        <f t="shared" si="21"/>
        <v>0</v>
      </c>
      <c r="AB72" s="540">
        <f t="shared" si="22"/>
        <v>0</v>
      </c>
      <c r="AC72" s="745"/>
      <c r="AD72" s="531"/>
      <c r="AE72" s="535"/>
      <c r="AF72" s="536"/>
      <c r="AG72" s="536"/>
      <c r="AH72" s="536"/>
      <c r="AI72" s="536"/>
      <c r="AJ72" s="534"/>
      <c r="AK72" s="534"/>
      <c r="AL72" s="534"/>
      <c r="AM72" s="597"/>
      <c r="AN72" s="597">
        <f t="shared" si="23"/>
        <v>0</v>
      </c>
      <c r="AO72" s="738"/>
      <c r="AP72" s="738"/>
      <c r="AQ72" s="299"/>
      <c r="AR72" s="299"/>
      <c r="AS72" s="299"/>
      <c r="AT72" s="186"/>
      <c r="AU72" s="186"/>
      <c r="AV72" s="46"/>
      <c r="AW72" s="46"/>
      <c r="AX72" s="46"/>
      <c r="AY72" s="28"/>
      <c r="AZ72" s="46"/>
      <c r="BA72" s="46"/>
      <c r="BB72" s="46"/>
      <c r="BC72" s="23"/>
      <c r="BD72" s="28"/>
      <c r="BE72" s="23"/>
      <c r="BF72" s="47"/>
      <c r="BG72" s="47"/>
      <c r="BH72" s="48"/>
      <c r="BI72" s="47"/>
      <c r="BJ72" s="23"/>
      <c r="BK72" s="47"/>
      <c r="BL72" s="73"/>
      <c r="BM72" s="28"/>
    </row>
    <row r="73" spans="1:65" s="71" customFormat="1" x14ac:dyDescent="0.25">
      <c r="A73" s="116">
        <v>24</v>
      </c>
      <c r="B73" s="116"/>
      <c r="C73" s="164" t="s">
        <v>70</v>
      </c>
      <c r="D73" s="251">
        <v>1962</v>
      </c>
      <c r="E73" s="245">
        <v>1</v>
      </c>
      <c r="F73" s="245">
        <v>2</v>
      </c>
      <c r="G73" s="245">
        <v>6</v>
      </c>
      <c r="H73" s="293">
        <v>85.7</v>
      </c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181"/>
      <c r="V73" s="181"/>
      <c r="W73" s="176">
        <f t="shared" si="18"/>
        <v>0</v>
      </c>
      <c r="X73" s="176"/>
      <c r="Y73" s="533">
        <f t="shared" si="19"/>
        <v>0</v>
      </c>
      <c r="Z73" s="533">
        <f t="shared" si="20"/>
        <v>0</v>
      </c>
      <c r="AA73" s="540">
        <f t="shared" si="21"/>
        <v>0</v>
      </c>
      <c r="AB73" s="540">
        <f t="shared" si="22"/>
        <v>0</v>
      </c>
      <c r="AC73" s="745"/>
      <c r="AD73" s="531"/>
      <c r="AE73" s="535"/>
      <c r="AF73" s="536"/>
      <c r="AG73" s="536"/>
      <c r="AH73" s="536"/>
      <c r="AI73" s="536"/>
      <c r="AJ73" s="534"/>
      <c r="AK73" s="534"/>
      <c r="AL73" s="534"/>
      <c r="AM73" s="597"/>
      <c r="AN73" s="597">
        <f t="shared" si="23"/>
        <v>0</v>
      </c>
      <c r="AO73" s="738"/>
      <c r="AP73" s="738"/>
      <c r="AQ73" s="299"/>
      <c r="AR73" s="299"/>
      <c r="AS73" s="299"/>
      <c r="AT73" s="186"/>
      <c r="AU73" s="186"/>
      <c r="AV73" s="46"/>
      <c r="AW73" s="46"/>
      <c r="AX73" s="46"/>
      <c r="AY73" s="28"/>
      <c r="AZ73" s="46"/>
      <c r="BA73" s="46"/>
      <c r="BB73" s="46"/>
      <c r="BC73" s="23"/>
      <c r="BD73" s="28"/>
      <c r="BE73" s="23"/>
      <c r="BF73" s="47"/>
      <c r="BG73" s="47"/>
      <c r="BH73" s="48"/>
      <c r="BI73" s="47"/>
      <c r="BJ73" s="23"/>
      <c r="BK73" s="47"/>
      <c r="BL73" s="73"/>
      <c r="BM73" s="28"/>
    </row>
    <row r="74" spans="1:65" s="71" customFormat="1" x14ac:dyDescent="0.25">
      <c r="A74" s="116">
        <v>25</v>
      </c>
      <c r="B74" s="116"/>
      <c r="C74" s="164" t="s">
        <v>71</v>
      </c>
      <c r="D74" s="251">
        <v>1940</v>
      </c>
      <c r="E74" s="245">
        <v>1</v>
      </c>
      <c r="F74" s="245">
        <v>1</v>
      </c>
      <c r="G74" s="245">
        <v>4</v>
      </c>
      <c r="H74" s="293">
        <v>53.56</v>
      </c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181"/>
      <c r="V74" s="181"/>
      <c r="W74" s="176">
        <f t="shared" si="18"/>
        <v>0</v>
      </c>
      <c r="X74" s="176"/>
      <c r="Y74" s="533">
        <f t="shared" si="19"/>
        <v>0</v>
      </c>
      <c r="Z74" s="533">
        <f t="shared" si="20"/>
        <v>0</v>
      </c>
      <c r="AA74" s="540">
        <f t="shared" si="21"/>
        <v>0</v>
      </c>
      <c r="AB74" s="540">
        <f t="shared" si="22"/>
        <v>0</v>
      </c>
      <c r="AC74" s="745"/>
      <c r="AD74" s="531"/>
      <c r="AE74" s="535"/>
      <c r="AF74" s="536"/>
      <c r="AG74" s="536"/>
      <c r="AH74" s="536"/>
      <c r="AI74" s="536"/>
      <c r="AJ74" s="534"/>
      <c r="AK74" s="534"/>
      <c r="AL74" s="534"/>
      <c r="AM74" s="597"/>
      <c r="AN74" s="597">
        <f t="shared" si="23"/>
        <v>0</v>
      </c>
      <c r="AO74" s="738"/>
      <c r="AP74" s="738"/>
      <c r="AQ74" s="299"/>
      <c r="AR74" s="299"/>
      <c r="AS74" s="299"/>
      <c r="AT74" s="186"/>
      <c r="AU74" s="186"/>
      <c r="AV74" s="46"/>
      <c r="AW74" s="46"/>
      <c r="AX74" s="46"/>
      <c r="AY74" s="28"/>
      <c r="AZ74" s="46"/>
      <c r="BA74" s="46"/>
      <c r="BB74" s="46"/>
      <c r="BC74" s="23"/>
      <c r="BD74" s="28"/>
      <c r="BE74" s="23"/>
      <c r="BF74" s="47"/>
      <c r="BG74" s="47"/>
      <c r="BH74" s="48"/>
      <c r="BI74" s="47"/>
      <c r="BJ74" s="23"/>
      <c r="BK74" s="47"/>
      <c r="BL74" s="73"/>
      <c r="BM74" s="28"/>
    </row>
    <row r="75" spans="1:65" s="71" customFormat="1" x14ac:dyDescent="0.25">
      <c r="A75" s="116">
        <v>26</v>
      </c>
      <c r="B75" s="116"/>
      <c r="C75" s="164" t="s">
        <v>72</v>
      </c>
      <c r="D75" s="251">
        <v>1963</v>
      </c>
      <c r="E75" s="245">
        <v>1</v>
      </c>
      <c r="F75" s="245">
        <v>2</v>
      </c>
      <c r="G75" s="245">
        <v>8</v>
      </c>
      <c r="H75" s="293">
        <v>88</v>
      </c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181"/>
      <c r="V75" s="181"/>
      <c r="W75" s="176">
        <f t="shared" si="18"/>
        <v>0</v>
      </c>
      <c r="X75" s="176"/>
      <c r="Y75" s="533">
        <f t="shared" si="19"/>
        <v>0</v>
      </c>
      <c r="Z75" s="533">
        <f t="shared" si="20"/>
        <v>0</v>
      </c>
      <c r="AA75" s="540">
        <f t="shared" si="21"/>
        <v>0</v>
      </c>
      <c r="AB75" s="540">
        <f t="shared" si="22"/>
        <v>0</v>
      </c>
      <c r="AC75" s="745"/>
      <c r="AD75" s="531"/>
      <c r="AE75" s="535"/>
      <c r="AF75" s="536"/>
      <c r="AG75" s="536"/>
      <c r="AH75" s="536"/>
      <c r="AI75" s="536"/>
      <c r="AJ75" s="534"/>
      <c r="AK75" s="534"/>
      <c r="AL75" s="534"/>
      <c r="AM75" s="597"/>
      <c r="AN75" s="597">
        <f t="shared" si="23"/>
        <v>0</v>
      </c>
      <c r="AO75" s="738"/>
      <c r="AP75" s="738"/>
      <c r="AQ75" s="299"/>
      <c r="AR75" s="299"/>
      <c r="AS75" s="299"/>
      <c r="AT75" s="186"/>
      <c r="AU75" s="186"/>
      <c r="AV75" s="46"/>
      <c r="AW75" s="46"/>
      <c r="AX75" s="46"/>
      <c r="AY75" s="28"/>
      <c r="AZ75" s="46"/>
      <c r="BA75" s="46"/>
      <c r="BB75" s="46"/>
      <c r="BC75" s="23"/>
      <c r="BD75" s="28"/>
      <c r="BE75" s="23"/>
      <c r="BF75" s="47"/>
      <c r="BG75" s="47"/>
      <c r="BH75" s="48"/>
      <c r="BI75" s="47"/>
      <c r="BJ75" s="23"/>
      <c r="BK75" s="47"/>
      <c r="BL75" s="73"/>
      <c r="BM75" s="28"/>
    </row>
    <row r="76" spans="1:65" s="71" customFormat="1" x14ac:dyDescent="0.25">
      <c r="A76" s="116">
        <v>27</v>
      </c>
      <c r="B76" s="116"/>
      <c r="C76" s="164" t="s">
        <v>73</v>
      </c>
      <c r="D76" s="251">
        <v>1962</v>
      </c>
      <c r="E76" s="245">
        <v>1</v>
      </c>
      <c r="F76" s="245">
        <v>1</v>
      </c>
      <c r="G76" s="245">
        <v>2</v>
      </c>
      <c r="H76" s="293">
        <v>44</v>
      </c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181"/>
      <c r="V76" s="181"/>
      <c r="W76" s="176">
        <f t="shared" si="18"/>
        <v>0</v>
      </c>
      <c r="X76" s="176"/>
      <c r="Y76" s="533">
        <f t="shared" si="19"/>
        <v>0</v>
      </c>
      <c r="Z76" s="533">
        <f t="shared" si="20"/>
        <v>0</v>
      </c>
      <c r="AA76" s="540">
        <f t="shared" si="21"/>
        <v>0</v>
      </c>
      <c r="AB76" s="540">
        <f t="shared" si="22"/>
        <v>0</v>
      </c>
      <c r="AC76" s="745"/>
      <c r="AD76" s="531"/>
      <c r="AE76" s="535"/>
      <c r="AF76" s="536"/>
      <c r="AG76" s="536"/>
      <c r="AH76" s="536"/>
      <c r="AI76" s="536"/>
      <c r="AJ76" s="534"/>
      <c r="AK76" s="534"/>
      <c r="AL76" s="534"/>
      <c r="AM76" s="597"/>
      <c r="AN76" s="597">
        <f t="shared" si="23"/>
        <v>0</v>
      </c>
      <c r="AO76" s="738"/>
      <c r="AP76" s="738"/>
      <c r="AQ76" s="299"/>
      <c r="AR76" s="299"/>
      <c r="AS76" s="299"/>
      <c r="AT76" s="186"/>
      <c r="AU76" s="186"/>
      <c r="AV76" s="46"/>
      <c r="AW76" s="46"/>
      <c r="AX76" s="46"/>
      <c r="AY76" s="28"/>
      <c r="AZ76" s="46"/>
      <c r="BA76" s="46"/>
      <c r="BB76" s="46"/>
      <c r="BC76" s="23"/>
      <c r="BD76" s="28"/>
      <c r="BE76" s="23"/>
      <c r="BF76" s="47"/>
      <c r="BG76" s="47"/>
      <c r="BH76" s="48"/>
      <c r="BI76" s="47"/>
      <c r="BJ76" s="23"/>
      <c r="BK76" s="47"/>
      <c r="BL76" s="73"/>
      <c r="BM76" s="28"/>
    </row>
    <row r="77" spans="1:65" s="71" customFormat="1" x14ac:dyDescent="0.25">
      <c r="A77" s="116">
        <v>28</v>
      </c>
      <c r="B77" s="116"/>
      <c r="C77" s="164" t="s">
        <v>74</v>
      </c>
      <c r="D77" s="251">
        <v>1943</v>
      </c>
      <c r="E77" s="245">
        <v>1</v>
      </c>
      <c r="F77" s="245">
        <v>2</v>
      </c>
      <c r="G77" s="245">
        <v>4</v>
      </c>
      <c r="H77" s="293">
        <v>31.3</v>
      </c>
      <c r="I77" s="360"/>
      <c r="J77" s="360"/>
      <c r="K77" s="360"/>
      <c r="L77" s="360"/>
      <c r="M77" s="360"/>
      <c r="N77" s="360"/>
      <c r="O77" s="360"/>
      <c r="P77" s="360"/>
      <c r="Q77" s="360"/>
      <c r="R77" s="360"/>
      <c r="S77" s="360"/>
      <c r="T77" s="360"/>
      <c r="U77" s="181"/>
      <c r="V77" s="181"/>
      <c r="W77" s="176">
        <f t="shared" si="18"/>
        <v>0</v>
      </c>
      <c r="X77" s="176"/>
      <c r="Y77" s="533">
        <f t="shared" si="19"/>
        <v>0</v>
      </c>
      <c r="Z77" s="533">
        <f t="shared" si="20"/>
        <v>0</v>
      </c>
      <c r="AA77" s="540">
        <f t="shared" si="21"/>
        <v>0</v>
      </c>
      <c r="AB77" s="540">
        <f t="shared" si="22"/>
        <v>0</v>
      </c>
      <c r="AC77" s="745"/>
      <c r="AD77" s="531"/>
      <c r="AE77" s="535"/>
      <c r="AF77" s="536"/>
      <c r="AG77" s="536"/>
      <c r="AH77" s="536"/>
      <c r="AI77" s="536"/>
      <c r="AJ77" s="534"/>
      <c r="AK77" s="534"/>
      <c r="AL77" s="534"/>
      <c r="AM77" s="597"/>
      <c r="AN77" s="597">
        <f t="shared" si="23"/>
        <v>0</v>
      </c>
      <c r="AO77" s="738"/>
      <c r="AP77" s="738"/>
      <c r="AQ77" s="299"/>
      <c r="AR77" s="299"/>
      <c r="AS77" s="299"/>
      <c r="AT77" s="186"/>
      <c r="AU77" s="186"/>
      <c r="AV77" s="46"/>
      <c r="AW77" s="46"/>
      <c r="AX77" s="46"/>
      <c r="AY77" s="28"/>
      <c r="AZ77" s="46"/>
      <c r="BA77" s="46"/>
      <c r="BB77" s="46"/>
      <c r="BC77" s="23"/>
      <c r="BD77" s="28"/>
      <c r="BE77" s="23"/>
      <c r="BF77" s="47"/>
      <c r="BG77" s="47"/>
      <c r="BH77" s="48"/>
      <c r="BI77" s="47"/>
      <c r="BJ77" s="23"/>
      <c r="BK77" s="47"/>
      <c r="BL77" s="73"/>
      <c r="BM77" s="28"/>
    </row>
    <row r="78" spans="1:65" s="71" customFormat="1" x14ac:dyDescent="0.25">
      <c r="A78" s="116">
        <v>29</v>
      </c>
      <c r="B78" s="116"/>
      <c r="C78" s="164" t="s">
        <v>75</v>
      </c>
      <c r="D78" s="251">
        <v>1943</v>
      </c>
      <c r="E78" s="245">
        <v>1</v>
      </c>
      <c r="F78" s="245">
        <v>1</v>
      </c>
      <c r="G78" s="245">
        <v>1</v>
      </c>
      <c r="H78" s="293">
        <v>22</v>
      </c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181"/>
      <c r="V78" s="181"/>
      <c r="W78" s="176">
        <f t="shared" si="18"/>
        <v>0</v>
      </c>
      <c r="X78" s="176"/>
      <c r="Y78" s="533">
        <f t="shared" si="19"/>
        <v>0</v>
      </c>
      <c r="Z78" s="533">
        <f t="shared" si="20"/>
        <v>0</v>
      </c>
      <c r="AA78" s="540">
        <f t="shared" si="21"/>
        <v>0</v>
      </c>
      <c r="AB78" s="540">
        <f t="shared" si="22"/>
        <v>0</v>
      </c>
      <c r="AC78" s="745"/>
      <c r="AD78" s="531"/>
      <c r="AE78" s="535"/>
      <c r="AF78" s="536"/>
      <c r="AG78" s="536"/>
      <c r="AH78" s="536"/>
      <c r="AI78" s="536"/>
      <c r="AJ78" s="534"/>
      <c r="AK78" s="534"/>
      <c r="AL78" s="534"/>
      <c r="AM78" s="597"/>
      <c r="AN78" s="597">
        <f t="shared" si="23"/>
        <v>0</v>
      </c>
      <c r="AO78" s="738"/>
      <c r="AP78" s="738"/>
      <c r="AQ78" s="299"/>
      <c r="AR78" s="299"/>
      <c r="AS78" s="299"/>
      <c r="AT78" s="186"/>
      <c r="AU78" s="186"/>
      <c r="AV78" s="46"/>
      <c r="AW78" s="46"/>
      <c r="AX78" s="46"/>
      <c r="AY78" s="28"/>
      <c r="AZ78" s="46"/>
      <c r="BA78" s="46"/>
      <c r="BB78" s="46"/>
      <c r="BC78" s="23"/>
      <c r="BD78" s="28"/>
      <c r="BE78" s="23"/>
      <c r="BF78" s="47"/>
      <c r="BG78" s="47"/>
      <c r="BH78" s="48"/>
      <c r="BI78" s="47"/>
      <c r="BJ78" s="23"/>
      <c r="BK78" s="47"/>
      <c r="BL78" s="73"/>
      <c r="BM78" s="28"/>
    </row>
    <row r="79" spans="1:65" s="27" customFormat="1" x14ac:dyDescent="0.25">
      <c r="A79" s="116">
        <v>30</v>
      </c>
      <c r="B79" s="116"/>
      <c r="C79" s="180" t="s">
        <v>76</v>
      </c>
      <c r="D79" s="297">
        <v>1969</v>
      </c>
      <c r="E79" s="297">
        <v>2</v>
      </c>
      <c r="F79" s="297">
        <v>16</v>
      </c>
      <c r="G79" s="297">
        <v>34</v>
      </c>
      <c r="H79" s="257">
        <v>649.16</v>
      </c>
      <c r="I79" s="360"/>
      <c r="J79" s="360"/>
      <c r="K79" s="360"/>
      <c r="L79" s="360"/>
      <c r="M79" s="360"/>
      <c r="N79" s="360"/>
      <c r="O79" s="360"/>
      <c r="P79" s="360"/>
      <c r="Q79" s="360"/>
      <c r="R79" s="360"/>
      <c r="S79" s="360"/>
      <c r="T79" s="360"/>
      <c r="U79" s="181">
        <v>28453.040000000001</v>
      </c>
      <c r="V79" s="181">
        <v>33619.33</v>
      </c>
      <c r="W79" s="176">
        <f t="shared" si="18"/>
        <v>42679.56</v>
      </c>
      <c r="X79" s="176"/>
      <c r="Y79" s="533">
        <f t="shared" si="19"/>
        <v>14226.519999999997</v>
      </c>
      <c r="Z79" s="533">
        <f t="shared" si="20"/>
        <v>13922.267160974196</v>
      </c>
      <c r="AA79" s="540">
        <f t="shared" si="21"/>
        <v>42679.56</v>
      </c>
      <c r="AB79" s="540">
        <f t="shared" si="22"/>
        <v>47541.597160974197</v>
      </c>
      <c r="AC79" s="745">
        <f>AD79+AE79+AF79+AG79+AH79+AI79+AJ79+AK79+AL79+AM79</f>
        <v>0</v>
      </c>
      <c r="AD79" s="531"/>
      <c r="AE79" s="535"/>
      <c r="AF79" s="536"/>
      <c r="AG79" s="536"/>
      <c r="AH79" s="536"/>
      <c r="AI79" s="536"/>
      <c r="AJ79" s="534"/>
      <c r="AK79" s="534"/>
      <c r="AL79" s="534"/>
      <c r="AM79" s="597"/>
      <c r="AN79" s="597">
        <f t="shared" si="23"/>
        <v>42679.56</v>
      </c>
      <c r="AO79" s="738"/>
      <c r="AP79" s="738"/>
      <c r="AQ79" s="299"/>
      <c r="AR79" s="299"/>
      <c r="AS79" s="299"/>
      <c r="AT79" s="186"/>
      <c r="AU79" s="186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74"/>
      <c r="BM79" s="51"/>
    </row>
    <row r="80" spans="1:65" x14ac:dyDescent="0.25">
      <c r="A80" s="151"/>
      <c r="B80" s="151"/>
      <c r="C80" s="184" t="s">
        <v>77</v>
      </c>
      <c r="D80" s="298"/>
      <c r="E80" s="152"/>
      <c r="F80" s="523">
        <f>SUM(F50:F79)</f>
        <v>335</v>
      </c>
      <c r="G80" s="523">
        <f>SUM(G50:G79)</f>
        <v>1032</v>
      </c>
      <c r="H80" s="523">
        <f>SUM(H50:H79)</f>
        <v>17391.430000000004</v>
      </c>
      <c r="I80" s="357"/>
      <c r="J80" s="357"/>
      <c r="K80" s="357"/>
      <c r="L80" s="357"/>
      <c r="M80" s="357"/>
      <c r="N80" s="357"/>
      <c r="O80" s="357"/>
      <c r="P80" s="357"/>
      <c r="Q80" s="357"/>
      <c r="R80" s="357"/>
      <c r="S80" s="357"/>
      <c r="T80" s="357"/>
      <c r="U80" s="524">
        <f>SUM(U50:U79)</f>
        <v>719269.20000000007</v>
      </c>
      <c r="V80" s="524">
        <f>SUM(V50:V79)</f>
        <v>789161.88</v>
      </c>
      <c r="W80" s="522">
        <f>SUM(W50:W79)</f>
        <v>1078903.8</v>
      </c>
      <c r="X80" s="522"/>
      <c r="Y80" s="532">
        <f>SUM(Y50:Y79)+0.01</f>
        <v>359634.61000000004</v>
      </c>
      <c r="Z80" s="532">
        <f t="shared" si="20"/>
        <v>331427.88895192137</v>
      </c>
      <c r="AA80" s="541">
        <f>SUM(AA50:AA79)</f>
        <v>1078903.8</v>
      </c>
      <c r="AB80" s="541">
        <f t="shared" si="22"/>
        <v>1120589.7689519213</v>
      </c>
      <c r="AC80" s="746">
        <f t="shared" ref="AC80:AL80" si="24">SUM(AC50:AC79)</f>
        <v>506300.25</v>
      </c>
      <c r="AD80" s="537">
        <f t="shared" si="24"/>
        <v>28377.9</v>
      </c>
      <c r="AE80" s="537">
        <f t="shared" si="24"/>
        <v>7291</v>
      </c>
      <c r="AF80" s="537">
        <f t="shared" si="24"/>
        <v>30847.35</v>
      </c>
      <c r="AG80" s="537">
        <f t="shared" si="24"/>
        <v>0</v>
      </c>
      <c r="AH80" s="537">
        <f t="shared" si="24"/>
        <v>85329.73</v>
      </c>
      <c r="AI80" s="537">
        <f t="shared" si="24"/>
        <v>315251.57999999996</v>
      </c>
      <c r="AJ80" s="537">
        <f t="shared" si="24"/>
        <v>31687</v>
      </c>
      <c r="AK80" s="537">
        <f t="shared" si="24"/>
        <v>1219.21</v>
      </c>
      <c r="AL80" s="537">
        <f t="shared" si="24"/>
        <v>6296.48</v>
      </c>
      <c r="AM80" s="597"/>
      <c r="AN80" s="597">
        <f t="shared" si="23"/>
        <v>572603.55000000005</v>
      </c>
      <c r="AO80" s="738"/>
      <c r="AP80" s="738"/>
      <c r="AQ80" s="299"/>
      <c r="AR80" s="299"/>
      <c r="AS80" s="299"/>
      <c r="AT80" s="186"/>
      <c r="AU80" s="186"/>
      <c r="AV80" s="9"/>
      <c r="AW80" s="9"/>
      <c r="AX80" s="9"/>
      <c r="AY80" s="9"/>
      <c r="AZ80" s="9"/>
      <c r="BA80" s="9"/>
      <c r="BB80" s="9"/>
      <c r="BC80" s="9"/>
      <c r="BD80" s="54"/>
      <c r="BE80" s="9"/>
      <c r="BF80" s="9"/>
      <c r="BG80" s="9"/>
      <c r="BH80" s="9"/>
      <c r="BI80" s="9"/>
      <c r="BJ80" s="9"/>
      <c r="BK80" s="9"/>
      <c r="BL80" s="75"/>
      <c r="BM80" s="9"/>
    </row>
    <row r="81" spans="1:65" x14ac:dyDescent="0.25">
      <c r="C81" s="299"/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 t="s">
        <v>128</v>
      </c>
      <c r="V81" s="299"/>
      <c r="W81" s="299"/>
      <c r="X81" s="299"/>
      <c r="Y81" s="299"/>
      <c r="Z81" s="299"/>
      <c r="AA81" s="299"/>
      <c r="AB81" s="299"/>
      <c r="AC81" s="299"/>
      <c r="AD81" s="299"/>
      <c r="AE81" s="300"/>
      <c r="AF81" s="299"/>
      <c r="AG81" s="299"/>
      <c r="AH81" s="299"/>
      <c r="AI81" s="299"/>
      <c r="AJ81" s="299"/>
      <c r="AK81" s="299"/>
      <c r="AL81" s="299"/>
      <c r="AM81" s="738"/>
      <c r="AN81" s="738"/>
      <c r="AO81" s="738"/>
      <c r="AP81" s="738"/>
      <c r="AQ81" s="299"/>
      <c r="AR81" s="299"/>
      <c r="AS81" s="299"/>
      <c r="AT81" s="186"/>
      <c r="AU81" s="186"/>
      <c r="AV81" s="9"/>
      <c r="AW81" s="9"/>
      <c r="AX81" s="9"/>
      <c r="AY81" s="9"/>
      <c r="AZ81" s="9"/>
      <c r="BA81" s="9"/>
      <c r="BB81" s="9"/>
      <c r="BC81" s="9"/>
      <c r="BD81" s="54"/>
      <c r="BE81" s="9"/>
      <c r="BF81" s="9"/>
      <c r="BG81" s="9"/>
      <c r="BH81" s="9"/>
      <c r="BI81" s="9"/>
      <c r="BJ81" s="9"/>
      <c r="BK81" s="9"/>
      <c r="BL81" s="75"/>
      <c r="BM81" s="9"/>
    </row>
    <row r="82" spans="1:65" x14ac:dyDescent="0.25">
      <c r="C82" s="305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738"/>
      <c r="AN82" s="738"/>
      <c r="AO82" s="738"/>
      <c r="AP82" s="738"/>
      <c r="AQ82" s="299"/>
      <c r="AR82" s="299"/>
      <c r="AS82" s="299"/>
      <c r="AT82" s="186"/>
      <c r="AU82" s="186"/>
      <c r="AV82" s="9"/>
      <c r="AW82" s="9"/>
      <c r="AX82" s="9"/>
      <c r="AY82" s="9"/>
      <c r="AZ82" s="9"/>
      <c r="BA82" s="9"/>
      <c r="BB82" s="9"/>
      <c r="BC82" s="9"/>
      <c r="BD82" s="54"/>
      <c r="BE82" s="9"/>
      <c r="BF82" s="9"/>
      <c r="BG82" s="9"/>
      <c r="BH82" s="9"/>
      <c r="BI82" s="9"/>
      <c r="BJ82" s="9"/>
      <c r="BK82" s="9"/>
      <c r="BL82" s="75"/>
      <c r="BM82" s="9"/>
    </row>
    <row r="83" spans="1:65" x14ac:dyDescent="0.25"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306"/>
      <c r="AG83" s="299"/>
      <c r="AH83" s="299"/>
      <c r="AI83" s="299"/>
      <c r="AJ83" s="299"/>
      <c r="AK83" s="299"/>
      <c r="AL83" s="299"/>
      <c r="AM83" s="738"/>
      <c r="AN83" s="738"/>
      <c r="AO83" s="738"/>
      <c r="AP83" s="738"/>
      <c r="AQ83" s="299"/>
      <c r="AR83" s="299"/>
      <c r="AS83" s="299"/>
      <c r="AT83" s="186"/>
      <c r="AU83" s="186"/>
      <c r="AV83" s="9"/>
      <c r="AW83" s="9"/>
      <c r="AX83" s="9"/>
      <c r="AY83" s="9"/>
      <c r="AZ83" s="9"/>
      <c r="BA83" s="9"/>
      <c r="BB83" s="9"/>
      <c r="BC83" s="9"/>
      <c r="BD83" s="54"/>
      <c r="BE83" s="9"/>
      <c r="BF83" s="9"/>
      <c r="BG83" s="9"/>
      <c r="BH83" s="9"/>
      <c r="BI83" s="9"/>
      <c r="BJ83" s="9"/>
      <c r="BK83" s="9"/>
      <c r="BL83" s="75"/>
      <c r="BM83" s="9"/>
    </row>
    <row r="84" spans="1:65" x14ac:dyDescent="0.25"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299"/>
      <c r="AF84" s="307"/>
      <c r="AG84" s="307"/>
      <c r="AH84" s="307"/>
      <c r="AI84" s="307"/>
      <c r="AJ84" s="307"/>
      <c r="AK84" s="307"/>
      <c r="AL84" s="307"/>
      <c r="AM84" s="738"/>
      <c r="AN84" s="738"/>
      <c r="AO84" s="738"/>
      <c r="AP84" s="738"/>
      <c r="AQ84" s="299"/>
      <c r="AR84" s="299"/>
      <c r="AS84" s="299"/>
      <c r="AT84" s="186"/>
      <c r="AU84" s="186"/>
      <c r="AV84" s="9"/>
      <c r="AW84" s="9"/>
      <c r="AX84" s="9"/>
      <c r="AY84" s="9"/>
      <c r="AZ84" s="9"/>
      <c r="BA84" s="9"/>
      <c r="BB84" s="9"/>
      <c r="BC84" s="9"/>
      <c r="BD84" s="54"/>
      <c r="BE84" s="9"/>
      <c r="BF84" s="9"/>
      <c r="BG84" s="9"/>
      <c r="BH84" s="9"/>
      <c r="BI84" s="9"/>
      <c r="BJ84" s="9"/>
      <c r="BK84" s="9"/>
      <c r="BL84" s="75"/>
      <c r="BM84" s="9"/>
    </row>
    <row r="85" spans="1:65" x14ac:dyDescent="0.25"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738"/>
      <c r="AN85" s="738"/>
      <c r="AO85" s="738"/>
      <c r="AP85" s="738"/>
      <c r="AQ85" s="299"/>
      <c r="AR85" s="299"/>
      <c r="AS85" s="299"/>
      <c r="AT85" s="186"/>
      <c r="AU85" s="186"/>
    </row>
    <row r="86" spans="1:65" x14ac:dyDescent="0.25">
      <c r="C86" s="299"/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738"/>
      <c r="AN86" s="738"/>
      <c r="AO86" s="738"/>
      <c r="AP86" s="738"/>
      <c r="AQ86" s="299"/>
      <c r="AR86" s="299"/>
      <c r="AS86" s="299"/>
      <c r="AT86" s="185"/>
      <c r="AU86" s="185"/>
    </row>
    <row r="87" spans="1:65" x14ac:dyDescent="0.25">
      <c r="C87" s="613"/>
      <c r="D87" s="611"/>
      <c r="E87" s="611"/>
      <c r="F87" s="611"/>
      <c r="G87" s="611"/>
      <c r="H87" s="611"/>
      <c r="I87" s="611"/>
      <c r="J87" s="611"/>
      <c r="K87" s="611"/>
      <c r="L87" s="611"/>
      <c r="M87" s="611"/>
      <c r="N87" s="611"/>
      <c r="O87" s="611"/>
      <c r="P87" s="611"/>
      <c r="Q87" s="611"/>
      <c r="R87" s="611"/>
      <c r="S87" s="611"/>
      <c r="T87" s="611"/>
      <c r="U87" s="611"/>
      <c r="V87" s="611"/>
      <c r="W87" s="306"/>
      <c r="X87" s="299"/>
      <c r="Y87" s="299"/>
      <c r="Z87" s="299"/>
      <c r="AA87" s="299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738"/>
      <c r="AN87" s="738"/>
      <c r="AO87" s="738"/>
      <c r="AP87" s="738"/>
      <c r="AQ87" s="299"/>
      <c r="AR87" s="299"/>
      <c r="AS87" s="299"/>
      <c r="AT87" s="185"/>
      <c r="AU87" s="185"/>
    </row>
    <row r="88" spans="1:65" ht="15.75" customHeight="1" x14ac:dyDescent="0.25">
      <c r="A88" s="111"/>
      <c r="B88" s="111"/>
      <c r="C88" s="614"/>
      <c r="D88" s="489"/>
      <c r="E88" s="489"/>
      <c r="F88" s="489"/>
      <c r="G88" s="489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  <c r="T88" s="489"/>
      <c r="U88" s="489"/>
      <c r="V88" s="489"/>
      <c r="W88" s="612"/>
      <c r="X88" s="111"/>
      <c r="Y88" s="111"/>
      <c r="Z88" s="111"/>
      <c r="AA88" s="111"/>
      <c r="AB88" s="111"/>
      <c r="AC88" s="111"/>
      <c r="AD88" s="111"/>
      <c r="AE88" s="111"/>
      <c r="AF88" s="308"/>
      <c r="AG88" s="308"/>
      <c r="AH88" s="308"/>
      <c r="AI88" s="308"/>
      <c r="AJ88" s="308"/>
      <c r="AK88" s="308"/>
      <c r="AL88" s="308"/>
      <c r="AM88" s="738"/>
      <c r="AN88" s="738"/>
      <c r="AO88" s="738"/>
      <c r="AP88" s="738"/>
      <c r="AQ88" s="299"/>
      <c r="AR88" s="299"/>
      <c r="AS88" s="299"/>
      <c r="AT88" s="185"/>
      <c r="AU88" s="185"/>
    </row>
    <row r="89" spans="1:65" ht="16.5" customHeight="1" x14ac:dyDescent="0.25">
      <c r="A89" s="111"/>
      <c r="B89" s="111"/>
      <c r="C89" s="610"/>
      <c r="D89" s="615"/>
      <c r="E89" s="489"/>
      <c r="F89" s="489"/>
      <c r="G89" s="4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  <c r="T89" s="489"/>
      <c r="U89" s="489"/>
      <c r="V89" s="489"/>
      <c r="W89" s="612"/>
      <c r="X89" s="111"/>
      <c r="Y89" s="111"/>
      <c r="Z89" s="111"/>
      <c r="AA89" s="111"/>
      <c r="AB89" s="111"/>
      <c r="AC89" s="111"/>
      <c r="AD89" s="111"/>
      <c r="AE89" s="111"/>
      <c r="AF89" s="308"/>
      <c r="AG89" s="308"/>
      <c r="AH89" s="308"/>
      <c r="AI89" s="308"/>
      <c r="AJ89" s="308"/>
      <c r="AK89" s="308"/>
      <c r="AL89" s="308"/>
      <c r="AM89" s="738"/>
      <c r="AN89" s="738"/>
      <c r="AO89" s="738"/>
      <c r="AP89" s="738"/>
      <c r="AQ89" s="299"/>
      <c r="AR89" s="299"/>
      <c r="AS89" s="299"/>
      <c r="AT89" s="185"/>
      <c r="AU89" s="185"/>
      <c r="AV89" s="948"/>
      <c r="AW89" s="948"/>
      <c r="AX89" s="948"/>
      <c r="AY89" s="948"/>
      <c r="AZ89" s="955"/>
      <c r="BA89" s="112"/>
      <c r="BB89" s="112"/>
      <c r="BC89" s="955"/>
      <c r="BD89" s="50"/>
      <c r="BE89" s="112"/>
      <c r="BF89" s="956"/>
      <c r="BG89" s="956"/>
      <c r="BH89" s="947"/>
      <c r="BI89" s="947"/>
      <c r="BJ89" s="947"/>
      <c r="BK89" s="947"/>
      <c r="BL89" s="963"/>
      <c r="BM89" s="954"/>
    </row>
    <row r="90" spans="1:65" ht="17.25" customHeight="1" x14ac:dyDescent="0.25">
      <c r="A90" s="111"/>
      <c r="B90" s="111"/>
      <c r="C90" s="610"/>
      <c r="D90" s="489"/>
      <c r="E90" s="489"/>
      <c r="F90" s="489"/>
      <c r="G90" s="489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  <c r="T90" s="489"/>
      <c r="U90" s="489"/>
      <c r="V90" s="489"/>
      <c r="W90" s="612"/>
      <c r="X90" s="111"/>
      <c r="Y90" s="111"/>
      <c r="Z90" s="111"/>
      <c r="AA90" s="111"/>
      <c r="AB90" s="111"/>
      <c r="AC90" s="111"/>
      <c r="AD90" s="111"/>
      <c r="AE90" s="111"/>
      <c r="AF90" s="308"/>
      <c r="AG90" s="308"/>
      <c r="AH90" s="308"/>
      <c r="AI90" s="308"/>
      <c r="AJ90" s="308"/>
      <c r="AK90" s="308"/>
      <c r="AL90" s="308"/>
      <c r="AM90" s="738"/>
      <c r="AN90" s="738"/>
      <c r="AO90" s="738"/>
      <c r="AP90" s="738"/>
      <c r="AQ90" s="299"/>
      <c r="AR90" s="299"/>
      <c r="AS90" s="299"/>
      <c r="AT90" s="185"/>
      <c r="AU90" s="185"/>
      <c r="AV90" s="114"/>
      <c r="AW90" s="114"/>
      <c r="AX90" s="114"/>
      <c r="AY90" s="114"/>
      <c r="AZ90" s="955"/>
      <c r="BA90" s="112"/>
      <c r="BB90" s="112"/>
      <c r="BC90" s="955"/>
      <c r="BD90" s="50"/>
      <c r="BE90" s="112"/>
      <c r="BF90" s="956"/>
      <c r="BG90" s="956"/>
      <c r="BH90" s="113"/>
      <c r="BI90" s="113"/>
      <c r="BJ90" s="113"/>
      <c r="BK90" s="113"/>
      <c r="BL90" s="963"/>
      <c r="BM90" s="954"/>
    </row>
    <row r="91" spans="1:65" s="71" customFormat="1" x14ac:dyDescent="0.25">
      <c r="A91" s="111"/>
      <c r="B91" s="111"/>
      <c r="C91" s="610"/>
      <c r="D91" s="489"/>
      <c r="E91" s="489"/>
      <c r="F91" s="489"/>
      <c r="G91" s="489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  <c r="T91" s="489"/>
      <c r="U91" s="489"/>
      <c r="V91" s="489"/>
      <c r="W91" s="612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738"/>
      <c r="AP91" s="738"/>
      <c r="AQ91" s="299"/>
      <c r="AR91" s="299"/>
      <c r="AS91" s="299"/>
      <c r="AT91" s="186"/>
      <c r="AU91" s="186"/>
      <c r="AV91" s="111"/>
      <c r="AW91" s="46"/>
      <c r="AX91" s="46"/>
      <c r="AY91" s="46"/>
      <c r="AZ91" s="46"/>
      <c r="BA91" s="46"/>
      <c r="BB91" s="46"/>
      <c r="BC91" s="23"/>
      <c r="BD91" s="28"/>
      <c r="BE91" s="23"/>
      <c r="BF91" s="47"/>
      <c r="BG91" s="47"/>
      <c r="BH91" s="48"/>
      <c r="BI91" s="47"/>
      <c r="BJ91" s="48"/>
      <c r="BK91" s="47"/>
      <c r="BL91" s="73"/>
      <c r="BM91" s="28"/>
    </row>
    <row r="92" spans="1:65" s="71" customFormat="1" ht="18" customHeight="1" x14ac:dyDescent="0.25">
      <c r="A92" s="111"/>
      <c r="B92" s="111"/>
      <c r="C92" s="610"/>
      <c r="D92" s="615"/>
      <c r="E92" s="612"/>
      <c r="F92" s="612"/>
      <c r="G92" s="612"/>
      <c r="H92" s="612"/>
      <c r="I92" s="612"/>
      <c r="J92" s="612"/>
      <c r="K92" s="612"/>
      <c r="L92" s="612"/>
      <c r="M92" s="612"/>
      <c r="N92" s="612"/>
      <c r="O92" s="612"/>
      <c r="P92" s="612"/>
      <c r="Q92" s="612"/>
      <c r="R92" s="612"/>
      <c r="S92" s="612"/>
      <c r="T92" s="612"/>
      <c r="U92" s="612"/>
      <c r="V92" s="612"/>
      <c r="W92" s="612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738"/>
      <c r="AP92" s="738"/>
      <c r="AQ92" s="299"/>
      <c r="AR92" s="299"/>
      <c r="AS92" s="299"/>
      <c r="AT92" s="186"/>
      <c r="AU92" s="186"/>
      <c r="AV92" s="111"/>
      <c r="AW92" s="46"/>
      <c r="AX92" s="46"/>
      <c r="AY92" s="28"/>
      <c r="AZ92" s="46"/>
      <c r="BA92" s="46"/>
      <c r="BB92" s="46"/>
      <c r="BC92" s="23"/>
      <c r="BD92" s="28"/>
      <c r="BE92" s="23"/>
      <c r="BF92" s="47"/>
      <c r="BG92" s="47"/>
      <c r="BH92" s="48"/>
      <c r="BI92" s="47"/>
      <c r="BJ92" s="48"/>
      <c r="BK92" s="47"/>
      <c r="BL92" s="73"/>
      <c r="BM92" s="28"/>
    </row>
    <row r="93" spans="1:65" s="71" customFormat="1" ht="14.25" customHeight="1" x14ac:dyDescent="0.25">
      <c r="A93" s="111"/>
      <c r="B93" s="111"/>
      <c r="C93" s="111"/>
      <c r="D93" s="612"/>
      <c r="E93" s="612"/>
      <c r="F93" s="612"/>
      <c r="G93" s="612"/>
      <c r="H93" s="612"/>
      <c r="I93" s="612"/>
      <c r="J93" s="612"/>
      <c r="K93" s="612"/>
      <c r="L93" s="612"/>
      <c r="M93" s="612"/>
      <c r="N93" s="612"/>
      <c r="O93" s="612"/>
      <c r="P93" s="612"/>
      <c r="Q93" s="612"/>
      <c r="R93" s="612"/>
      <c r="S93" s="612"/>
      <c r="T93" s="612"/>
      <c r="U93" s="612"/>
      <c r="V93" s="612"/>
      <c r="W93" s="612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738"/>
      <c r="AP93" s="738"/>
      <c r="AQ93" s="299"/>
      <c r="AR93" s="299"/>
      <c r="AS93" s="299"/>
      <c r="AT93" s="186"/>
      <c r="AU93" s="186"/>
      <c r="AV93" s="111"/>
      <c r="AW93" s="46"/>
      <c r="AX93" s="46"/>
      <c r="AY93" s="28"/>
      <c r="AZ93" s="46"/>
      <c r="BA93" s="46"/>
      <c r="BB93" s="46"/>
      <c r="BC93" s="23"/>
      <c r="BD93" s="28"/>
      <c r="BE93" s="23"/>
      <c r="BF93" s="47"/>
      <c r="BG93" s="47"/>
      <c r="BH93" s="48"/>
      <c r="BI93" s="47"/>
      <c r="BJ93" s="48"/>
      <c r="BK93" s="47"/>
      <c r="BL93" s="73"/>
      <c r="BM93" s="28"/>
    </row>
    <row r="94" spans="1:65" s="71" customFormat="1" x14ac:dyDescent="0.25">
      <c r="A94" s="111"/>
      <c r="B94" s="111"/>
      <c r="C94" s="111"/>
      <c r="D94" s="612"/>
      <c r="E94" s="612"/>
      <c r="F94" s="612"/>
      <c r="G94" s="612"/>
      <c r="H94" s="612"/>
      <c r="I94" s="612"/>
      <c r="J94" s="612"/>
      <c r="K94" s="612"/>
      <c r="L94" s="612"/>
      <c r="M94" s="612"/>
      <c r="N94" s="612"/>
      <c r="O94" s="612"/>
      <c r="P94" s="612"/>
      <c r="Q94" s="612"/>
      <c r="R94" s="612"/>
      <c r="S94" s="612"/>
      <c r="T94" s="612"/>
      <c r="U94" s="612"/>
      <c r="V94" s="612"/>
      <c r="W94" s="612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738"/>
      <c r="AP94" s="738"/>
      <c r="AQ94" s="299"/>
      <c r="AR94" s="299"/>
      <c r="AS94" s="299"/>
      <c r="AT94" s="186"/>
      <c r="AU94" s="186"/>
      <c r="AV94" s="111"/>
      <c r="AW94" s="46"/>
      <c r="AX94" s="46"/>
      <c r="AY94" s="28"/>
      <c r="AZ94" s="46"/>
      <c r="BA94" s="46"/>
      <c r="BB94" s="46"/>
      <c r="BC94" s="23"/>
      <c r="BD94" s="28"/>
      <c r="BE94" s="23"/>
      <c r="BF94" s="47"/>
      <c r="BG94" s="47"/>
      <c r="BH94" s="48"/>
      <c r="BI94" s="47"/>
      <c r="BJ94" s="48"/>
      <c r="BK94" s="47"/>
      <c r="BL94" s="73"/>
      <c r="BM94" s="28"/>
    </row>
    <row r="95" spans="1:65" s="71" customFormat="1" x14ac:dyDescent="0.25">
      <c r="A95" s="111"/>
      <c r="B95" s="111"/>
      <c r="C95" s="111"/>
      <c r="D95" s="612"/>
      <c r="E95" s="612"/>
      <c r="F95" s="612"/>
      <c r="G95" s="612"/>
      <c r="H95" s="612"/>
      <c r="I95" s="612"/>
      <c r="J95" s="612"/>
      <c r="K95" s="612"/>
      <c r="L95" s="612"/>
      <c r="M95" s="612"/>
      <c r="N95" s="612"/>
      <c r="O95" s="612"/>
      <c r="P95" s="612"/>
      <c r="Q95" s="612"/>
      <c r="R95" s="612"/>
      <c r="S95" s="612"/>
      <c r="T95" s="612"/>
      <c r="U95" s="612"/>
      <c r="V95" s="612"/>
      <c r="W95" s="612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738"/>
      <c r="AP95" s="738"/>
      <c r="AQ95" s="299"/>
      <c r="AR95" s="299"/>
      <c r="AS95" s="299"/>
      <c r="AT95" s="186"/>
      <c r="AU95" s="186"/>
      <c r="AV95" s="111"/>
      <c r="AW95" s="46"/>
      <c r="AX95" s="46"/>
      <c r="AY95" s="28"/>
      <c r="AZ95" s="46"/>
      <c r="BA95" s="46"/>
      <c r="BB95" s="46"/>
      <c r="BC95" s="23"/>
      <c r="BD95" s="28"/>
      <c r="BE95" s="23"/>
      <c r="BF95" s="47"/>
      <c r="BG95" s="47"/>
      <c r="BH95" s="48"/>
      <c r="BI95" s="47"/>
      <c r="BJ95" s="48"/>
      <c r="BK95" s="47"/>
      <c r="BL95" s="73"/>
      <c r="BM95" s="28"/>
    </row>
    <row r="96" spans="1:65" s="71" customFormat="1" x14ac:dyDescent="0.25">
      <c r="A96" s="111"/>
      <c r="B96" s="111"/>
      <c r="C96" s="111"/>
      <c r="D96" s="612"/>
      <c r="E96" s="612"/>
      <c r="F96" s="612"/>
      <c r="G96" s="612"/>
      <c r="H96" s="612"/>
      <c r="I96" s="612"/>
      <c r="J96" s="612"/>
      <c r="K96" s="612"/>
      <c r="L96" s="612"/>
      <c r="M96" s="612"/>
      <c r="N96" s="612"/>
      <c r="O96" s="612"/>
      <c r="P96" s="612"/>
      <c r="Q96" s="612"/>
      <c r="R96" s="612"/>
      <c r="S96" s="612"/>
      <c r="T96" s="612"/>
      <c r="U96" s="612"/>
      <c r="V96" s="612"/>
      <c r="W96" s="612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738"/>
      <c r="AP96" s="738"/>
      <c r="AQ96" s="299"/>
      <c r="AR96" s="299"/>
      <c r="AS96" s="299"/>
      <c r="AT96" s="186"/>
      <c r="AU96" s="186"/>
      <c r="AV96" s="111"/>
      <c r="AW96" s="46"/>
      <c r="AX96" s="46"/>
      <c r="AY96" s="28"/>
      <c r="AZ96" s="46"/>
      <c r="BA96" s="46"/>
      <c r="BB96" s="46"/>
      <c r="BC96" s="23"/>
      <c r="BD96" s="28"/>
      <c r="BE96" s="23"/>
      <c r="BF96" s="47"/>
      <c r="BG96" s="47"/>
      <c r="BH96" s="48"/>
      <c r="BI96" s="47"/>
      <c r="BJ96" s="48"/>
      <c r="BK96" s="47"/>
      <c r="BL96" s="73"/>
      <c r="BM96" s="28"/>
    </row>
    <row r="97" spans="1:65" s="71" customFormat="1" x14ac:dyDescent="0.25">
      <c r="A97" s="111"/>
      <c r="B97" s="111"/>
      <c r="C97" s="111"/>
      <c r="D97" s="612"/>
      <c r="E97" s="612"/>
      <c r="F97" s="612"/>
      <c r="G97" s="612"/>
      <c r="H97" s="612"/>
      <c r="I97" s="612"/>
      <c r="J97" s="612"/>
      <c r="K97" s="612"/>
      <c r="L97" s="612"/>
      <c r="M97" s="612"/>
      <c r="N97" s="612"/>
      <c r="O97" s="612"/>
      <c r="P97" s="612"/>
      <c r="Q97" s="612"/>
      <c r="R97" s="612"/>
      <c r="S97" s="612"/>
      <c r="T97" s="612"/>
      <c r="U97" s="612"/>
      <c r="V97" s="612"/>
      <c r="W97" s="612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738"/>
      <c r="AP97" s="738"/>
      <c r="AQ97" s="299"/>
      <c r="AR97" s="299"/>
      <c r="AS97" s="299"/>
      <c r="AT97" s="186"/>
      <c r="AU97" s="186"/>
      <c r="AV97" s="111"/>
      <c r="AW97" s="46"/>
      <c r="AX97" s="46"/>
      <c r="AY97" s="28"/>
      <c r="AZ97" s="46"/>
      <c r="BA97" s="46"/>
      <c r="BB97" s="46"/>
      <c r="BC97" s="23"/>
      <c r="BD97" s="28"/>
      <c r="BE97" s="23"/>
      <c r="BF97" s="47"/>
      <c r="BG97" s="47"/>
      <c r="BH97" s="48"/>
      <c r="BI97" s="47"/>
      <c r="BJ97" s="48"/>
      <c r="BK97" s="47"/>
      <c r="BL97" s="73"/>
      <c r="BM97" s="28"/>
    </row>
    <row r="98" spans="1:65" s="71" customFormat="1" x14ac:dyDescent="0.25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738"/>
      <c r="AP98" s="738"/>
      <c r="AQ98" s="299"/>
      <c r="AR98" s="299"/>
      <c r="AS98" s="299"/>
      <c r="AT98" s="186"/>
      <c r="AU98" s="186"/>
      <c r="AV98" s="111"/>
      <c r="AW98" s="46"/>
      <c r="AX98" s="46"/>
      <c r="AY98" s="28"/>
      <c r="AZ98" s="46"/>
      <c r="BA98" s="46"/>
      <c r="BB98" s="46"/>
      <c r="BC98" s="23"/>
      <c r="BD98" s="28"/>
      <c r="BE98" s="23"/>
      <c r="BF98" s="47"/>
      <c r="BG98" s="47"/>
      <c r="BH98" s="48"/>
      <c r="BI98" s="47"/>
      <c r="BJ98" s="48"/>
      <c r="BK98" s="47"/>
      <c r="BL98" s="73"/>
      <c r="BM98" s="28"/>
    </row>
    <row r="99" spans="1:65" s="71" customFormat="1" x14ac:dyDescent="0.25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738"/>
      <c r="AP99" s="738"/>
      <c r="AQ99" s="299"/>
      <c r="AR99" s="299"/>
      <c r="AS99" s="299"/>
      <c r="AT99" s="186"/>
      <c r="AU99" s="186"/>
      <c r="AV99" s="111"/>
      <c r="AW99" s="46"/>
      <c r="AX99" s="46"/>
      <c r="AY99" s="28"/>
      <c r="AZ99" s="46"/>
      <c r="BA99" s="46"/>
      <c r="BB99" s="46"/>
      <c r="BC99" s="23"/>
      <c r="BD99" s="28"/>
      <c r="BE99" s="23"/>
      <c r="BF99" s="47"/>
      <c r="BG99" s="47"/>
      <c r="BH99" s="48"/>
      <c r="BI99" s="47"/>
      <c r="BJ99" s="48"/>
      <c r="BK99" s="47"/>
      <c r="BL99" s="73"/>
      <c r="BM99" s="28"/>
    </row>
    <row r="100" spans="1:65" s="71" customFormat="1" x14ac:dyDescent="0.25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738"/>
      <c r="AP100" s="738"/>
      <c r="AQ100" s="299"/>
      <c r="AR100" s="299"/>
      <c r="AS100" s="299"/>
      <c r="AT100" s="186"/>
      <c r="AU100" s="186"/>
      <c r="AV100" s="111"/>
      <c r="AW100" s="46"/>
      <c r="AX100" s="46"/>
      <c r="AY100" s="28"/>
      <c r="AZ100" s="46"/>
      <c r="BA100" s="46"/>
      <c r="BB100" s="46"/>
      <c r="BC100" s="23"/>
      <c r="BD100" s="28"/>
      <c r="BE100" s="23"/>
      <c r="BF100" s="47"/>
      <c r="BG100" s="47"/>
      <c r="BH100" s="48"/>
      <c r="BI100" s="47"/>
      <c r="BJ100" s="48"/>
      <c r="BK100" s="47"/>
      <c r="BL100" s="73"/>
      <c r="BM100" s="28"/>
    </row>
    <row r="101" spans="1:65" s="71" customFormat="1" x14ac:dyDescent="0.25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738"/>
      <c r="AP101" s="738"/>
      <c r="AQ101" s="299"/>
      <c r="AR101" s="299"/>
      <c r="AS101" s="299"/>
      <c r="AT101" s="186"/>
      <c r="AU101" s="186"/>
      <c r="AV101" s="111"/>
      <c r="AW101" s="46"/>
      <c r="AX101" s="46"/>
      <c r="AY101" s="28"/>
      <c r="AZ101" s="46"/>
      <c r="BA101" s="46"/>
      <c r="BB101" s="46"/>
      <c r="BC101" s="23"/>
      <c r="BD101" s="28"/>
      <c r="BE101" s="23"/>
      <c r="BF101" s="47"/>
      <c r="BG101" s="47"/>
      <c r="BH101" s="48"/>
      <c r="BI101" s="47"/>
      <c r="BJ101" s="23"/>
      <c r="BK101" s="47"/>
      <c r="BL101" s="73"/>
      <c r="BM101" s="28"/>
    </row>
    <row r="102" spans="1:65" s="71" customFormat="1" x14ac:dyDescent="0.25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738"/>
      <c r="AP102" s="738"/>
      <c r="AQ102" s="299"/>
      <c r="AR102" s="299"/>
      <c r="AS102" s="299"/>
      <c r="AT102" s="186"/>
      <c r="AU102" s="186"/>
      <c r="AV102" s="111"/>
      <c r="AW102" s="46"/>
      <c r="AX102" s="46"/>
      <c r="AY102" s="28"/>
      <c r="AZ102" s="46"/>
      <c r="BA102" s="46"/>
      <c r="BB102" s="46"/>
      <c r="BC102" s="23"/>
      <c r="BD102" s="28"/>
      <c r="BE102" s="23"/>
      <c r="BF102" s="47"/>
      <c r="BG102" s="47"/>
      <c r="BH102" s="48"/>
      <c r="BI102" s="47"/>
      <c r="BJ102" s="48"/>
      <c r="BK102" s="47"/>
      <c r="BL102" s="73"/>
      <c r="BM102" s="28"/>
    </row>
    <row r="103" spans="1:65" s="71" customFormat="1" x14ac:dyDescent="0.25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738"/>
      <c r="AP103" s="738"/>
      <c r="AQ103" s="299"/>
      <c r="AR103" s="299"/>
      <c r="AS103" s="299"/>
      <c r="AT103" s="186"/>
      <c r="AU103" s="186"/>
      <c r="AV103" s="111"/>
      <c r="AW103" s="46"/>
      <c r="AX103" s="46"/>
      <c r="AY103" s="28"/>
      <c r="AZ103" s="46"/>
      <c r="BA103" s="46"/>
      <c r="BB103" s="46"/>
      <c r="BC103" s="23"/>
      <c r="BD103" s="28"/>
      <c r="BE103" s="23"/>
      <c r="BF103" s="47"/>
      <c r="BG103" s="47"/>
      <c r="BH103" s="48"/>
      <c r="BI103" s="47"/>
      <c r="BJ103" s="48"/>
      <c r="BK103" s="47"/>
      <c r="BL103" s="73"/>
      <c r="BM103" s="28"/>
    </row>
    <row r="104" spans="1:65" s="71" customFormat="1" x14ac:dyDescent="0.25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738"/>
      <c r="AP104" s="738"/>
      <c r="AQ104" s="299"/>
      <c r="AR104" s="299"/>
      <c r="AS104" s="299"/>
      <c r="AT104" s="186"/>
      <c r="AU104" s="186"/>
      <c r="AV104" s="111"/>
      <c r="AW104" s="46"/>
      <c r="AX104" s="46"/>
      <c r="AY104" s="28"/>
      <c r="AZ104" s="46"/>
      <c r="BA104" s="46"/>
      <c r="BB104" s="46"/>
      <c r="BC104" s="23"/>
      <c r="BD104" s="28"/>
      <c r="BE104" s="23"/>
      <c r="BF104" s="47"/>
      <c r="BG104" s="47"/>
      <c r="BH104" s="48"/>
      <c r="BI104" s="47"/>
      <c r="BJ104" s="23"/>
      <c r="BK104" s="47"/>
      <c r="BL104" s="73"/>
      <c r="BM104" s="28"/>
    </row>
    <row r="105" spans="1:65" s="71" customFormat="1" x14ac:dyDescent="0.25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738"/>
      <c r="AP105" s="738"/>
      <c r="AQ105" s="299"/>
      <c r="AR105" s="299"/>
      <c r="AS105" s="299"/>
      <c r="AT105" s="186"/>
      <c r="AU105" s="186"/>
      <c r="AV105" s="111"/>
      <c r="AW105" s="46"/>
      <c r="AX105" s="46"/>
      <c r="AY105" s="28"/>
      <c r="AZ105" s="46"/>
      <c r="BA105" s="46"/>
      <c r="BB105" s="46"/>
      <c r="BC105" s="23"/>
      <c r="BD105" s="28"/>
      <c r="BE105" s="23"/>
      <c r="BF105" s="47"/>
      <c r="BG105" s="47"/>
      <c r="BH105" s="48"/>
      <c r="BI105" s="47"/>
      <c r="BJ105" s="23"/>
      <c r="BK105" s="47"/>
      <c r="BL105" s="73"/>
      <c r="BM105" s="28"/>
    </row>
    <row r="106" spans="1:65" s="71" customFormat="1" x14ac:dyDescent="0.25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738"/>
      <c r="AP106" s="738"/>
      <c r="AQ106" s="299"/>
      <c r="AR106" s="299"/>
      <c r="AS106" s="299"/>
      <c r="AT106" s="186"/>
      <c r="AU106" s="186"/>
      <c r="AV106" s="111"/>
      <c r="AW106" s="46"/>
      <c r="AX106" s="46"/>
      <c r="AY106" s="28"/>
      <c r="AZ106" s="46"/>
      <c r="BA106" s="46"/>
      <c r="BB106" s="46"/>
      <c r="BC106" s="23"/>
      <c r="BD106" s="28"/>
      <c r="BE106" s="23"/>
      <c r="BF106" s="47"/>
      <c r="BG106" s="47"/>
      <c r="BH106" s="48"/>
      <c r="BI106" s="47"/>
      <c r="BJ106" s="48"/>
      <c r="BK106" s="47"/>
      <c r="BL106" s="73"/>
      <c r="BM106" s="28"/>
    </row>
    <row r="107" spans="1:65" x14ac:dyDescent="0.25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738"/>
      <c r="AP107" s="738"/>
      <c r="AQ107" s="299"/>
      <c r="AR107" s="299"/>
      <c r="AS107" s="299"/>
      <c r="AT107" s="186"/>
      <c r="AU107" s="186"/>
      <c r="AV107" s="111"/>
      <c r="AW107" s="9"/>
      <c r="AX107" s="9"/>
      <c r="AY107" s="9"/>
      <c r="AZ107" s="9"/>
      <c r="BA107" s="9"/>
      <c r="BB107" s="9"/>
      <c r="BC107" s="9"/>
      <c r="BD107" s="54"/>
      <c r="BE107" s="9"/>
      <c r="BF107" s="9"/>
      <c r="BG107" s="9"/>
      <c r="BH107" s="9"/>
      <c r="BI107" s="9"/>
      <c r="BJ107" s="9"/>
      <c r="BK107" s="9"/>
      <c r="BL107" s="75"/>
      <c r="BM107" s="9"/>
    </row>
    <row r="108" spans="1:65" x14ac:dyDescent="0.25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738"/>
      <c r="AP108" s="738"/>
      <c r="AQ108" s="299"/>
      <c r="AR108" s="299"/>
      <c r="AS108" s="299"/>
      <c r="AT108" s="186"/>
      <c r="AU108" s="186"/>
      <c r="AV108" s="111"/>
      <c r="AW108" s="9"/>
      <c r="AX108" s="9"/>
      <c r="AY108" s="9"/>
      <c r="AZ108" s="9"/>
      <c r="BA108" s="9"/>
      <c r="BB108" s="9"/>
      <c r="BC108" s="9"/>
      <c r="BD108" s="54"/>
      <c r="BE108" s="9"/>
      <c r="BF108" s="9"/>
      <c r="BG108" s="9"/>
      <c r="BH108" s="9"/>
      <c r="BI108" s="9"/>
      <c r="BJ108" s="9"/>
      <c r="BK108" s="9"/>
      <c r="BL108" s="75"/>
      <c r="BM108" s="9"/>
    </row>
    <row r="109" spans="1:65" x14ac:dyDescent="0.25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299"/>
      <c r="AG109" s="299"/>
      <c r="AH109" s="299"/>
      <c r="AI109" s="299"/>
      <c r="AJ109" s="299"/>
      <c r="AK109" s="299"/>
      <c r="AL109" s="299"/>
      <c r="AM109" s="738"/>
      <c r="AN109" s="738"/>
      <c r="AO109" s="738"/>
      <c r="AP109" s="738"/>
      <c r="AQ109" s="299"/>
      <c r="AR109" s="299"/>
      <c r="AS109" s="299"/>
      <c r="AT109" s="186"/>
      <c r="AU109" s="186"/>
      <c r="AV109" s="111"/>
      <c r="AW109" s="9"/>
      <c r="AX109" s="9"/>
      <c r="AY109" s="9"/>
      <c r="AZ109" s="9"/>
      <c r="BA109" s="9"/>
      <c r="BB109" s="9"/>
      <c r="BC109" s="9"/>
      <c r="BD109" s="54"/>
      <c r="BE109" s="9"/>
      <c r="BF109" s="9"/>
      <c r="BG109" s="9"/>
      <c r="BH109" s="9"/>
      <c r="BI109" s="9"/>
      <c r="BJ109" s="9"/>
      <c r="BK109" s="9"/>
      <c r="BL109" s="75"/>
      <c r="BM109" s="9"/>
    </row>
    <row r="110" spans="1:65" x14ac:dyDescent="0.25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299"/>
      <c r="AG110" s="299"/>
      <c r="AH110" s="299"/>
      <c r="AI110" s="299"/>
      <c r="AJ110" s="299"/>
      <c r="AK110" s="299"/>
      <c r="AL110" s="299"/>
      <c r="AM110" s="738"/>
      <c r="AN110" s="738"/>
      <c r="AO110" s="738"/>
      <c r="AP110" s="738"/>
      <c r="AQ110" s="299"/>
      <c r="AR110" s="299"/>
      <c r="AS110" s="299"/>
      <c r="AT110" s="186"/>
      <c r="AU110" s="186"/>
      <c r="AV110" s="111"/>
      <c r="AW110" s="9"/>
      <c r="AX110" s="9"/>
      <c r="AY110" s="9"/>
      <c r="AZ110" s="9"/>
      <c r="BA110" s="9"/>
      <c r="BB110" s="9"/>
      <c r="BC110" s="9"/>
      <c r="BD110" s="54"/>
      <c r="BE110" s="9"/>
      <c r="BF110" s="9"/>
      <c r="BG110" s="9"/>
      <c r="BH110" s="9"/>
      <c r="BI110" s="9"/>
      <c r="BJ110" s="9"/>
      <c r="BK110" s="9"/>
      <c r="BL110" s="75"/>
      <c r="BM110" s="9"/>
    </row>
    <row r="111" spans="1:65" x14ac:dyDescent="0.25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42"/>
      <c r="AG111" s="142"/>
      <c r="AH111" s="142"/>
      <c r="AI111" s="142"/>
      <c r="AJ111" s="142"/>
      <c r="AK111" s="142"/>
      <c r="AL111" s="142"/>
      <c r="AM111" s="738"/>
      <c r="AN111" s="738"/>
      <c r="AO111" s="738"/>
      <c r="AP111" s="738"/>
      <c r="AQ111" s="142"/>
      <c r="AR111" s="142"/>
      <c r="AS111" s="142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54"/>
      <c r="BE111" s="9"/>
      <c r="BF111" s="9"/>
      <c r="BG111" s="9"/>
      <c r="BH111" s="9"/>
      <c r="BI111" s="9"/>
      <c r="BJ111" s="9"/>
      <c r="BK111" s="9"/>
      <c r="BL111" s="75"/>
      <c r="BM111" s="9"/>
    </row>
    <row r="112" spans="1:65" x14ac:dyDescent="0.25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48"/>
      <c r="AG112" s="148"/>
      <c r="AH112" s="148"/>
      <c r="AI112" s="148"/>
      <c r="AJ112" s="148"/>
      <c r="AK112" s="148"/>
      <c r="AL112" s="148"/>
      <c r="AM112" s="738"/>
      <c r="AN112" s="738"/>
      <c r="AO112" s="738"/>
      <c r="AP112" s="738"/>
      <c r="AQ112" s="148"/>
      <c r="AR112" s="148"/>
      <c r="AS112" s="148"/>
    </row>
    <row r="113" spans="1:45" ht="18.75" customHeight="1" x14ac:dyDescent="0.25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299"/>
      <c r="AG113" s="299"/>
      <c r="AH113" s="299"/>
      <c r="AI113" s="299"/>
      <c r="AJ113" s="299"/>
      <c r="AK113" s="299"/>
      <c r="AL113" s="299"/>
      <c r="AM113" s="738"/>
      <c r="AN113" s="738"/>
      <c r="AO113" s="738"/>
      <c r="AP113" s="738"/>
      <c r="AQ113" s="148"/>
      <c r="AR113" s="148"/>
      <c r="AS113" s="148"/>
    </row>
    <row r="114" spans="1:45" ht="18" customHeight="1" x14ac:dyDescent="0.25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299"/>
      <c r="AG114" s="299"/>
      <c r="AH114" s="299"/>
      <c r="AI114" s="299"/>
      <c r="AJ114" s="299"/>
      <c r="AK114" s="299"/>
      <c r="AL114" s="299"/>
      <c r="AM114" s="738"/>
      <c r="AN114" s="738"/>
      <c r="AO114" s="738"/>
      <c r="AP114" s="738"/>
      <c r="AQ114" s="148"/>
      <c r="AR114" s="148"/>
      <c r="AS114" s="148"/>
    </row>
    <row r="115" spans="1:45" ht="18" customHeight="1" x14ac:dyDescent="0.25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738"/>
      <c r="AP115" s="738"/>
      <c r="AQ115" s="148"/>
      <c r="AR115" s="148"/>
      <c r="AS115" s="148"/>
    </row>
    <row r="116" spans="1:45" ht="18" customHeight="1" x14ac:dyDescent="0.25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738"/>
      <c r="AP116" s="738"/>
      <c r="AQ116" s="148"/>
      <c r="AR116" s="148"/>
      <c r="AS116" s="148"/>
    </row>
    <row r="117" spans="1:45" ht="26.25" customHeight="1" x14ac:dyDescent="0.25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738"/>
      <c r="AP117" s="738"/>
      <c r="AQ117" s="148"/>
      <c r="AR117" s="148"/>
      <c r="AS117" s="148"/>
    </row>
    <row r="118" spans="1:45" ht="15.75" customHeight="1" x14ac:dyDescent="0.25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738"/>
      <c r="AP118" s="738"/>
      <c r="AQ118" s="148"/>
      <c r="AR118" s="148"/>
      <c r="AS118" s="148"/>
    </row>
    <row r="119" spans="1:45" ht="17.25" customHeight="1" x14ac:dyDescent="0.25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738"/>
      <c r="AP119" s="738"/>
      <c r="AQ119" s="148"/>
      <c r="AR119" s="148"/>
      <c r="AS119" s="148"/>
    </row>
    <row r="120" spans="1:45" x14ac:dyDescent="0.25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738"/>
      <c r="AP120" s="738"/>
      <c r="AQ120" s="148"/>
      <c r="AR120" s="148"/>
      <c r="AS120" s="148"/>
    </row>
    <row r="121" spans="1:45" x14ac:dyDescent="0.25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738"/>
      <c r="AP121" s="738"/>
      <c r="AQ121" s="148"/>
      <c r="AR121" s="148"/>
      <c r="AS121" s="148"/>
    </row>
    <row r="122" spans="1:45" x14ac:dyDescent="0.25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738"/>
      <c r="AP122" s="738"/>
      <c r="AQ122" s="148"/>
      <c r="AR122" s="148"/>
      <c r="AS122" s="148"/>
    </row>
    <row r="123" spans="1:45" x14ac:dyDescent="0.25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738"/>
      <c r="AP123" s="738"/>
      <c r="AQ123" s="148"/>
      <c r="AR123" s="148"/>
      <c r="AS123" s="148"/>
    </row>
    <row r="124" spans="1:45" x14ac:dyDescent="0.25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738"/>
      <c r="AP124" s="738"/>
      <c r="AQ124" s="148"/>
      <c r="AR124" s="148"/>
      <c r="AS124" s="148"/>
    </row>
    <row r="125" spans="1:45" x14ac:dyDescent="0.25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738"/>
      <c r="AP125" s="738"/>
      <c r="AQ125" s="148"/>
      <c r="AR125" s="148"/>
      <c r="AS125" s="148"/>
    </row>
    <row r="126" spans="1:45" x14ac:dyDescent="0.25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738"/>
      <c r="AP126" s="738"/>
      <c r="AQ126" s="148"/>
      <c r="AR126" s="148"/>
      <c r="AS126" s="148"/>
    </row>
    <row r="127" spans="1:45" x14ac:dyDescent="0.25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738"/>
      <c r="AP127" s="738"/>
      <c r="AQ127" s="148"/>
      <c r="AR127" s="148"/>
      <c r="AS127" s="148"/>
    </row>
    <row r="128" spans="1:45" x14ac:dyDescent="0.25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48"/>
      <c r="AP128" s="148"/>
      <c r="AQ128" s="148"/>
      <c r="AR128" s="148"/>
      <c r="AS128" s="148"/>
    </row>
    <row r="129" spans="1:45" x14ac:dyDescent="0.25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48"/>
      <c r="AP129" s="148"/>
      <c r="AQ129" s="148"/>
      <c r="AR129" s="148"/>
      <c r="AS129" s="148"/>
    </row>
    <row r="130" spans="1:45" x14ac:dyDescent="0.25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48"/>
      <c r="AP130" s="148"/>
      <c r="AQ130" s="148"/>
      <c r="AR130" s="148"/>
      <c r="AS130" s="148"/>
    </row>
    <row r="131" spans="1:45" x14ac:dyDescent="0.25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48"/>
      <c r="AP131" s="148"/>
      <c r="AQ131" s="148"/>
      <c r="AR131" s="148"/>
      <c r="AS131" s="148"/>
    </row>
    <row r="132" spans="1:45" x14ac:dyDescent="0.25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48"/>
      <c r="AP132" s="148"/>
      <c r="AQ132" s="148"/>
      <c r="AR132" s="148"/>
      <c r="AS132" s="148"/>
    </row>
    <row r="133" spans="1:45" x14ac:dyDescent="0.25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48"/>
      <c r="AP133" s="148"/>
      <c r="AQ133" s="148"/>
      <c r="AR133" s="148"/>
      <c r="AS133" s="148"/>
    </row>
    <row r="134" spans="1:45" x14ac:dyDescent="0.25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</row>
    <row r="135" spans="1:45" x14ac:dyDescent="0.25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</row>
  </sheetData>
  <mergeCells count="73">
    <mergeCell ref="AV89:AY89"/>
    <mergeCell ref="AZ89:AZ90"/>
    <mergeCell ref="BH89:BI89"/>
    <mergeCell ref="BJ89:BK89"/>
    <mergeCell ref="BL89:BL90"/>
    <mergeCell ref="BM89:BM90"/>
    <mergeCell ref="BC89:BC90"/>
    <mergeCell ref="BF89:BF90"/>
    <mergeCell ref="BG89:BG90"/>
    <mergeCell ref="W8:X8"/>
    <mergeCell ref="AD8:AD9"/>
    <mergeCell ref="AI48:AI49"/>
    <mergeCell ref="AH48:AH49"/>
    <mergeCell ref="W48:X48"/>
    <mergeCell ref="AC48:AC49"/>
    <mergeCell ref="Y48:Z48"/>
    <mergeCell ref="AA48:AB48"/>
    <mergeCell ref="C45:AE45"/>
    <mergeCell ref="AD48:AD49"/>
    <mergeCell ref="AE48:AE49"/>
    <mergeCell ref="AF48:AF49"/>
    <mergeCell ref="G48:G49"/>
    <mergeCell ref="H48:H49"/>
    <mergeCell ref="U48:V48"/>
    <mergeCell ref="Q8:R8"/>
    <mergeCell ref="M8:N8"/>
    <mergeCell ref="O8:P8"/>
    <mergeCell ref="S8:T8"/>
    <mergeCell ref="A48:A49"/>
    <mergeCell ref="C48:C49"/>
    <mergeCell ref="D48:D49"/>
    <mergeCell ref="E48:E49"/>
    <mergeCell ref="F48:F49"/>
    <mergeCell ref="B48:B49"/>
    <mergeCell ref="C4:AE4"/>
    <mergeCell ref="A8:A9"/>
    <mergeCell ref="C8:C9"/>
    <mergeCell ref="D8:D9"/>
    <mergeCell ref="E8:E9"/>
    <mergeCell ref="F8:F9"/>
    <mergeCell ref="G8:G9"/>
    <mergeCell ref="H8:H9"/>
    <mergeCell ref="AC8:AC9"/>
    <mergeCell ref="AE8:AE9"/>
    <mergeCell ref="U8:V8"/>
    <mergeCell ref="B8:B9"/>
    <mergeCell ref="AA8:AB8"/>
    <mergeCell ref="I8:J8"/>
    <mergeCell ref="K8:L8"/>
    <mergeCell ref="Y8:Z8"/>
    <mergeCell ref="BJ46:BK46"/>
    <mergeCell ref="AV46:AY46"/>
    <mergeCell ref="AQ8:AQ9"/>
    <mergeCell ref="AJ8:AJ9"/>
    <mergeCell ref="AO8:AO9"/>
    <mergeCell ref="BH46:BI46"/>
    <mergeCell ref="AP8:AP9"/>
    <mergeCell ref="AR8:AR9"/>
    <mergeCell ref="AN8:AN9"/>
    <mergeCell ref="AS8:AS9"/>
    <mergeCell ref="AN48:AN49"/>
    <mergeCell ref="AF8:AF9"/>
    <mergeCell ref="AG8:AG9"/>
    <mergeCell ref="AH8:AH9"/>
    <mergeCell ref="AL8:AL9"/>
    <mergeCell ref="AM8:AM9"/>
    <mergeCell ref="AI8:AI9"/>
    <mergeCell ref="AK8:AK9"/>
    <mergeCell ref="AK48:AK49"/>
    <mergeCell ref="AL48:AL49"/>
    <mergeCell ref="AM48:AM49"/>
    <mergeCell ref="AJ48:AJ49"/>
    <mergeCell ref="AG48:AG49"/>
  </mergeCells>
  <pageMargins left="0.19685039370078741" right="0.70866141732283472" top="0.19685039370078741" bottom="0.74803149606299213" header="0.31496062992125984" footer="0.31496062992125984"/>
  <pageSetup paperSize="9" scale="80" orientation="landscape" horizontalDpi="180" verticalDpi="180" r:id="rId1"/>
  <rowBreaks count="2" manualBreakCount="2">
    <brk id="41" max="16383" man="1"/>
    <brk id="108" max="16383" man="1"/>
  </rowBreaks>
  <colBreaks count="1" manualBreakCount="1">
    <brk id="38" max="1048575" man="1"/>
  </colBreaks>
  <ignoredErrors>
    <ignoredError sqref="Y40 AB8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120"/>
  <sheetViews>
    <sheetView topLeftCell="A58" zoomScaleNormal="100" workbookViewId="0">
      <selection activeCell="C1" sqref="C1:AK1048576"/>
    </sheetView>
  </sheetViews>
  <sheetFormatPr defaultRowHeight="15" x14ac:dyDescent="0.25"/>
  <cols>
    <col min="1" max="1" width="3.5703125" customWidth="1"/>
    <col min="2" max="2" width="10.5703125" hidden="1" customWidth="1"/>
    <col min="3" max="37" width="13.7109375" customWidth="1"/>
    <col min="38" max="38" width="12.140625" customWidth="1"/>
    <col min="39" max="39" width="12.42578125" customWidth="1"/>
    <col min="40" max="40" width="12" customWidth="1"/>
    <col min="41" max="41" width="11.140625" customWidth="1"/>
    <col min="42" max="42" width="11.42578125" customWidth="1"/>
    <col min="43" max="43" width="12.28515625" customWidth="1"/>
    <col min="44" max="44" width="10.7109375" customWidth="1"/>
    <col min="45" max="46" width="10.85546875" customWidth="1"/>
    <col min="47" max="47" width="12.140625" customWidth="1"/>
    <col min="48" max="48" width="12.85546875" customWidth="1"/>
    <col min="49" max="49" width="11.5703125" customWidth="1"/>
    <col min="50" max="50" width="11" customWidth="1"/>
    <col min="51" max="51" width="11.7109375" customWidth="1"/>
    <col min="52" max="52" width="10.5703125" customWidth="1"/>
    <col min="53" max="53" width="11.42578125" customWidth="1"/>
    <col min="54" max="54" width="10.7109375" customWidth="1"/>
    <col min="55" max="55" width="10.85546875" customWidth="1"/>
    <col min="56" max="57" width="11" customWidth="1"/>
    <col min="58" max="58" width="11.42578125" customWidth="1"/>
    <col min="59" max="59" width="10.42578125" customWidth="1"/>
  </cols>
  <sheetData>
    <row r="2" spans="1:55" ht="15.75" x14ac:dyDescent="0.25">
      <c r="A2" s="10"/>
      <c r="B2" s="10"/>
      <c r="C2" s="11" t="s">
        <v>296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Z2" s="111"/>
      <c r="BA2" s="111"/>
    </row>
    <row r="3" spans="1:55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Z3" s="111"/>
      <c r="BA3" s="111"/>
    </row>
    <row r="4" spans="1:55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Z4" s="111"/>
      <c r="BA4" s="111"/>
    </row>
    <row r="5" spans="1:55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Z5" s="111"/>
      <c r="BA5" s="111"/>
    </row>
    <row r="6" spans="1:55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Z6" s="93"/>
      <c r="BA6" s="107"/>
    </row>
    <row r="7" spans="1:55" ht="57.75" customHeight="1" x14ac:dyDescent="0.25">
      <c r="A7" s="915" t="s">
        <v>0</v>
      </c>
      <c r="B7" s="860"/>
      <c r="C7" s="915" t="s">
        <v>130</v>
      </c>
      <c r="D7" s="915" t="s">
        <v>43</v>
      </c>
      <c r="E7" s="915" t="s">
        <v>44</v>
      </c>
      <c r="F7" s="915" t="s">
        <v>45</v>
      </c>
      <c r="G7" s="915" t="s">
        <v>46</v>
      </c>
      <c r="H7" s="915" t="s">
        <v>1</v>
      </c>
      <c r="I7" s="860" t="s">
        <v>178</v>
      </c>
      <c r="J7" s="890" t="s">
        <v>215</v>
      </c>
      <c r="K7" s="891"/>
      <c r="L7" s="890" t="s">
        <v>238</v>
      </c>
      <c r="M7" s="891"/>
      <c r="N7" s="865" t="s">
        <v>240</v>
      </c>
      <c r="O7" s="866"/>
      <c r="P7" s="865" t="s">
        <v>265</v>
      </c>
      <c r="Q7" s="866"/>
      <c r="R7" s="865" t="s">
        <v>293</v>
      </c>
      <c r="S7" s="866"/>
      <c r="T7" s="865" t="s">
        <v>294</v>
      </c>
      <c r="U7" s="866"/>
      <c r="V7" s="865" t="s">
        <v>295</v>
      </c>
      <c r="W7" s="866"/>
      <c r="X7" s="865" t="s">
        <v>241</v>
      </c>
      <c r="Y7" s="866"/>
      <c r="Z7" s="865" t="s">
        <v>239</v>
      </c>
      <c r="AA7" s="866"/>
      <c r="AB7" s="969" t="s">
        <v>186</v>
      </c>
      <c r="AC7" s="970"/>
      <c r="AD7" s="969" t="s">
        <v>247</v>
      </c>
      <c r="AE7" s="970"/>
      <c r="AF7" s="969" t="s">
        <v>243</v>
      </c>
      <c r="AG7" s="970"/>
      <c r="AH7" s="867" t="s">
        <v>248</v>
      </c>
      <c r="AI7" s="867"/>
      <c r="AJ7" s="939" t="s">
        <v>204</v>
      </c>
      <c r="AK7" s="881" t="s">
        <v>241</v>
      </c>
      <c r="AL7" s="877" t="s">
        <v>303</v>
      </c>
      <c r="AM7" s="862" t="s">
        <v>224</v>
      </c>
      <c r="AN7" s="862" t="s">
        <v>307</v>
      </c>
      <c r="AO7" s="862" t="s">
        <v>3</v>
      </c>
      <c r="AP7" s="862" t="s">
        <v>249</v>
      </c>
      <c r="AQ7" s="873" t="s">
        <v>306</v>
      </c>
      <c r="AR7" s="875" t="s">
        <v>308</v>
      </c>
      <c r="AS7" s="862" t="s">
        <v>250</v>
      </c>
      <c r="AT7" s="877" t="s">
        <v>265</v>
      </c>
      <c r="AU7" s="877" t="s">
        <v>240</v>
      </c>
      <c r="AV7" s="879" t="s">
        <v>251</v>
      </c>
      <c r="AW7" s="881" t="s">
        <v>189</v>
      </c>
      <c r="AX7" s="877" t="s">
        <v>203</v>
      </c>
      <c r="AY7" s="882" t="s">
        <v>275</v>
      </c>
      <c r="AZ7" s="879" t="s">
        <v>309</v>
      </c>
      <c r="BA7" s="879" t="s">
        <v>310</v>
      </c>
      <c r="BB7" s="972" t="s">
        <v>227</v>
      </c>
      <c r="BC7" s="964" t="s">
        <v>367</v>
      </c>
    </row>
    <row r="8" spans="1:55" ht="42" customHeight="1" x14ac:dyDescent="0.25">
      <c r="A8" s="915"/>
      <c r="B8" s="861"/>
      <c r="C8" s="915"/>
      <c r="D8" s="915"/>
      <c r="E8" s="915"/>
      <c r="F8" s="915"/>
      <c r="G8" s="915"/>
      <c r="H8" s="915"/>
      <c r="I8" s="861"/>
      <c r="J8" s="82" t="s">
        <v>4</v>
      </c>
      <c r="K8" s="593" t="s">
        <v>5</v>
      </c>
      <c r="L8" s="82" t="s">
        <v>4</v>
      </c>
      <c r="M8" s="593" t="s">
        <v>5</v>
      </c>
      <c r="N8" s="82" t="s">
        <v>4</v>
      </c>
      <c r="O8" s="593" t="s">
        <v>5</v>
      </c>
      <c r="P8" s="82" t="s">
        <v>4</v>
      </c>
      <c r="Q8" s="593" t="s">
        <v>5</v>
      </c>
      <c r="R8" s="82" t="s">
        <v>4</v>
      </c>
      <c r="S8" s="593" t="s">
        <v>5</v>
      </c>
      <c r="T8" s="82" t="s">
        <v>4</v>
      </c>
      <c r="U8" s="593" t="s">
        <v>5</v>
      </c>
      <c r="V8" s="82" t="s">
        <v>4</v>
      </c>
      <c r="W8" s="599" t="s">
        <v>5</v>
      </c>
      <c r="X8" s="82" t="s">
        <v>4</v>
      </c>
      <c r="Y8" s="593" t="s">
        <v>5</v>
      </c>
      <c r="Z8" s="82" t="s">
        <v>4</v>
      </c>
      <c r="AA8" s="593" t="s">
        <v>5</v>
      </c>
      <c r="AB8" s="553" t="s">
        <v>4</v>
      </c>
      <c r="AC8" s="554" t="s">
        <v>5</v>
      </c>
      <c r="AD8" s="553" t="s">
        <v>4</v>
      </c>
      <c r="AE8" s="554" t="s">
        <v>5</v>
      </c>
      <c r="AF8" s="553" t="s">
        <v>4</v>
      </c>
      <c r="AG8" s="554" t="s">
        <v>5</v>
      </c>
      <c r="AH8" s="542" t="s">
        <v>4</v>
      </c>
      <c r="AI8" s="543" t="s">
        <v>5</v>
      </c>
      <c r="AJ8" s="940"/>
      <c r="AK8" s="881"/>
      <c r="AL8" s="878"/>
      <c r="AM8" s="863"/>
      <c r="AN8" s="864"/>
      <c r="AO8" s="863"/>
      <c r="AP8" s="863"/>
      <c r="AQ8" s="874"/>
      <c r="AR8" s="876"/>
      <c r="AS8" s="863"/>
      <c r="AT8" s="878"/>
      <c r="AU8" s="878"/>
      <c r="AV8" s="880"/>
      <c r="AW8" s="881"/>
      <c r="AX8" s="864"/>
      <c r="AY8" s="864"/>
      <c r="AZ8" s="949"/>
      <c r="BA8" s="949"/>
      <c r="BB8" s="973"/>
      <c r="BC8" s="965"/>
    </row>
    <row r="9" spans="1:55" s="71" customFormat="1" ht="25.5" x14ac:dyDescent="0.25">
      <c r="A9" s="61">
        <v>1</v>
      </c>
      <c r="B9" s="213">
        <v>42401</v>
      </c>
      <c r="C9" s="161" t="s">
        <v>131</v>
      </c>
      <c r="D9" s="241">
        <v>1975</v>
      </c>
      <c r="E9" s="241">
        <v>2</v>
      </c>
      <c r="F9" s="241">
        <v>18</v>
      </c>
      <c r="G9" s="242">
        <v>60</v>
      </c>
      <c r="H9" s="243">
        <v>783.27</v>
      </c>
      <c r="I9" s="244">
        <v>85.12</v>
      </c>
      <c r="J9" s="225">
        <v>997.9</v>
      </c>
      <c r="K9" s="244">
        <v>1086.54</v>
      </c>
      <c r="L9" s="225">
        <v>214.54</v>
      </c>
      <c r="M9" s="225">
        <v>76.41</v>
      </c>
      <c r="N9" s="225">
        <v>721.14</v>
      </c>
      <c r="O9" s="225">
        <v>688.26</v>
      </c>
      <c r="P9" s="225">
        <v>2009.04</v>
      </c>
      <c r="Q9" s="225">
        <v>2375.6799999999998</v>
      </c>
      <c r="R9" s="225">
        <v>88.98</v>
      </c>
      <c r="S9" s="225"/>
      <c r="T9" s="220">
        <v>1541.34</v>
      </c>
      <c r="U9" s="220">
        <v>1116.58</v>
      </c>
      <c r="V9" s="220">
        <v>444.9</v>
      </c>
      <c r="W9" s="220">
        <v>386.73</v>
      </c>
      <c r="X9" s="220">
        <v>5381.25</v>
      </c>
      <c r="Y9" s="220">
        <v>6268.79</v>
      </c>
      <c r="Z9" s="220"/>
      <c r="AA9" s="220"/>
      <c r="AB9" s="220">
        <v>143524.70000000001</v>
      </c>
      <c r="AC9" s="220">
        <v>136535.71</v>
      </c>
      <c r="AD9" s="220">
        <v>11262.8</v>
      </c>
      <c r="AE9" s="220"/>
      <c r="AF9" s="220">
        <f>AB9-AD9</f>
        <v>132261.90000000002</v>
      </c>
      <c r="AG9" s="220">
        <f>AC9/AB9*AF9</f>
        <v>125821.3563410967</v>
      </c>
      <c r="AH9" s="752">
        <f>J9+L9+N9+P9+R9+T9+V9+X9+Z9+AF9</f>
        <v>143660.99000000002</v>
      </c>
      <c r="AI9" s="752">
        <f>K9+M9+O9+Q9+S9+U9+W9+Y9+AA9+AG9</f>
        <v>137820.34634109671</v>
      </c>
      <c r="AJ9" s="747">
        <f>AK9+AL9+AM9+AN9+AO9+AP9+AQ9+AR9+AS9+AT9+AU9+AV9+AW9+AX9+AY9+AZ9+BA9+BB9</f>
        <v>125199.38333784349</v>
      </c>
      <c r="AK9" s="221">
        <v>5400</v>
      </c>
      <c r="AL9" s="222">
        <v>1809.28</v>
      </c>
      <c r="AM9" s="222">
        <v>514.71</v>
      </c>
      <c r="AN9" s="222">
        <v>831.88</v>
      </c>
      <c r="AO9" s="222">
        <v>36660.44</v>
      </c>
      <c r="AP9" s="222">
        <v>14791.88</v>
      </c>
      <c r="AQ9" s="222">
        <f>11026.14/27715.26*H9</f>
        <v>311.61333784348403</v>
      </c>
      <c r="AR9" s="222">
        <v>163.06</v>
      </c>
      <c r="AS9" s="222">
        <v>1330.68</v>
      </c>
      <c r="AT9" s="222">
        <v>266.66000000000003</v>
      </c>
      <c r="AU9" s="222">
        <v>423.02</v>
      </c>
      <c r="AV9" s="222">
        <v>2312.3200000000002</v>
      </c>
      <c r="AW9" s="222">
        <v>34496.89</v>
      </c>
      <c r="AX9" s="222">
        <v>3702.96</v>
      </c>
      <c r="AY9" s="222"/>
      <c r="AZ9" s="223">
        <v>21868.92</v>
      </c>
      <c r="BA9" s="223">
        <v>315.07</v>
      </c>
      <c r="BB9" s="179"/>
      <c r="BC9" s="233">
        <f>AH9-AJ9</f>
        <v>18461.606662156526</v>
      </c>
    </row>
    <row r="10" spans="1:55" s="71" customFormat="1" ht="25.5" x14ac:dyDescent="0.25">
      <c r="A10" s="13">
        <v>2</v>
      </c>
      <c r="B10" s="199"/>
      <c r="C10" s="161" t="s">
        <v>132</v>
      </c>
      <c r="D10" s="245">
        <v>1975</v>
      </c>
      <c r="E10" s="245">
        <v>2</v>
      </c>
      <c r="F10" s="245">
        <v>18</v>
      </c>
      <c r="G10" s="242">
        <v>52</v>
      </c>
      <c r="H10" s="246">
        <v>784.97</v>
      </c>
      <c r="I10" s="247">
        <v>85.12</v>
      </c>
      <c r="J10" s="247">
        <v>997.72</v>
      </c>
      <c r="K10" s="247">
        <v>1092.53</v>
      </c>
      <c r="L10" s="248">
        <v>214.46</v>
      </c>
      <c r="M10" s="248">
        <v>101.52</v>
      </c>
      <c r="N10" s="248">
        <v>721.2</v>
      </c>
      <c r="O10" s="248">
        <v>715.97</v>
      </c>
      <c r="P10" s="248">
        <v>2008.86</v>
      </c>
      <c r="Q10" s="248">
        <v>2343.6999999999998</v>
      </c>
      <c r="R10" s="248">
        <v>88.96</v>
      </c>
      <c r="S10" s="248"/>
      <c r="T10" s="220">
        <v>1541.34</v>
      </c>
      <c r="U10" s="220">
        <v>1270.77</v>
      </c>
      <c r="V10" s="220">
        <v>444.8</v>
      </c>
      <c r="W10" s="220">
        <v>440.06</v>
      </c>
      <c r="X10" s="220">
        <v>5022.5</v>
      </c>
      <c r="Y10" s="220">
        <v>5740.07</v>
      </c>
      <c r="Z10" s="220"/>
      <c r="AA10" s="220"/>
      <c r="AB10" s="220">
        <v>144097.24</v>
      </c>
      <c r="AC10" s="220">
        <v>140180.75</v>
      </c>
      <c r="AD10" s="220">
        <v>11264.35</v>
      </c>
      <c r="AE10" s="220"/>
      <c r="AF10" s="220">
        <f t="shared" ref="AF10:AF32" si="0">AB10-AD10</f>
        <v>132832.88999999998</v>
      </c>
      <c r="AG10" s="220">
        <f t="shared" ref="AG10:AG32" si="1">AC10/AB10*AF10</f>
        <v>129222.55932776713</v>
      </c>
      <c r="AH10" s="752">
        <f t="shared" ref="AH10:AH32" si="2">J10+L10+N10+P10+R10+T10+V10+X10+Z10+AF10</f>
        <v>143872.72999999998</v>
      </c>
      <c r="AI10" s="752">
        <f t="shared" ref="AI10:AI32" si="3">K10+M10+O10+Q10+S10+U10+W10+Y10+AA10+AG10</f>
        <v>140927.17932776714</v>
      </c>
      <c r="AJ10" s="747">
        <f t="shared" ref="AJ10:AJ32" si="4">AK10+AL10+AM10+AN10+AO10+AP10+AQ10+AR10+AS10+AT10+AU10+AV10+AW10+AX10+AY10+AZ10+BA10+BB10</f>
        <v>124055.87965976866</v>
      </c>
      <c r="AK10" s="221">
        <v>5400</v>
      </c>
      <c r="AL10" s="222">
        <v>1815.77</v>
      </c>
      <c r="AM10" s="222">
        <v>516.57000000000005</v>
      </c>
      <c r="AN10" s="222">
        <v>834.86</v>
      </c>
      <c r="AO10" s="222">
        <v>36792.61</v>
      </c>
      <c r="AP10" s="222">
        <v>14845.21</v>
      </c>
      <c r="AQ10" s="222">
        <f t="shared" ref="AQ10:AQ32" si="5">11026.14/27715.26*H10</f>
        <v>312.28965976866175</v>
      </c>
      <c r="AR10" s="222">
        <v>163.65</v>
      </c>
      <c r="AS10" s="222">
        <v>1392.19</v>
      </c>
      <c r="AT10" s="222">
        <v>266.88</v>
      </c>
      <c r="AU10" s="222">
        <v>423.02</v>
      </c>
      <c r="AV10" s="222">
        <v>678.37</v>
      </c>
      <c r="AW10" s="222">
        <v>34621.279999999999</v>
      </c>
      <c r="AX10" s="222">
        <v>3716.31</v>
      </c>
      <c r="AY10" s="222"/>
      <c r="AZ10" s="223">
        <v>21960.65</v>
      </c>
      <c r="BA10" s="223">
        <v>316.22000000000003</v>
      </c>
      <c r="BB10" s="179"/>
      <c r="BC10" s="233">
        <f t="shared" ref="BC10:BC32" si="6">AH10-AJ10</f>
        <v>19816.850340231322</v>
      </c>
    </row>
    <row r="11" spans="1:55" s="71" customFormat="1" ht="25.5" x14ac:dyDescent="0.25">
      <c r="A11" s="13">
        <v>3</v>
      </c>
      <c r="B11" s="199"/>
      <c r="C11" s="161" t="s">
        <v>133</v>
      </c>
      <c r="D11" s="245">
        <v>1975</v>
      </c>
      <c r="E11" s="245">
        <v>2</v>
      </c>
      <c r="F11" s="245">
        <v>18</v>
      </c>
      <c r="G11" s="249">
        <v>58</v>
      </c>
      <c r="H11" s="247">
        <v>788.23</v>
      </c>
      <c r="I11" s="247">
        <v>86.42</v>
      </c>
      <c r="J11" s="247">
        <v>1013.07</v>
      </c>
      <c r="K11" s="247">
        <v>1154.01</v>
      </c>
      <c r="L11" s="248">
        <v>217.78</v>
      </c>
      <c r="M11" s="248">
        <v>90</v>
      </c>
      <c r="N11" s="248">
        <v>732.18</v>
      </c>
      <c r="O11" s="248">
        <v>739.86</v>
      </c>
      <c r="P11" s="248">
        <v>2039.7</v>
      </c>
      <c r="Q11" s="248">
        <v>2454.29</v>
      </c>
      <c r="R11" s="248">
        <v>90.3</v>
      </c>
      <c r="S11" s="248">
        <v>0.81</v>
      </c>
      <c r="T11" s="220">
        <v>1564.96</v>
      </c>
      <c r="U11" s="220">
        <v>1289.21</v>
      </c>
      <c r="V11" s="220">
        <v>451.5</v>
      </c>
      <c r="W11" s="220">
        <v>445.53</v>
      </c>
      <c r="X11" s="220">
        <v>3228.75</v>
      </c>
      <c r="Y11" s="220">
        <v>3714.49</v>
      </c>
      <c r="Z11" s="220"/>
      <c r="AA11" s="220"/>
      <c r="AB11" s="220">
        <v>144656.07</v>
      </c>
      <c r="AC11" s="220">
        <v>143002.38</v>
      </c>
      <c r="AD11" s="220">
        <v>11311.2</v>
      </c>
      <c r="AE11" s="220"/>
      <c r="AF11" s="220">
        <f t="shared" si="0"/>
        <v>133344.87</v>
      </c>
      <c r="AG11" s="220">
        <f t="shared" si="1"/>
        <v>131820.48821588061</v>
      </c>
      <c r="AH11" s="752">
        <f t="shared" si="2"/>
        <v>142683.10999999999</v>
      </c>
      <c r="AI11" s="752">
        <f t="shared" si="3"/>
        <v>141708.68821588063</v>
      </c>
      <c r="AJ11" s="747">
        <f t="shared" si="4"/>
        <v>127359.23660651931</v>
      </c>
      <c r="AK11" s="221">
        <v>5400</v>
      </c>
      <c r="AL11" s="222">
        <v>1823.36</v>
      </c>
      <c r="AM11" s="222">
        <v>518.71</v>
      </c>
      <c r="AN11" s="222">
        <v>838.34</v>
      </c>
      <c r="AO11" s="222">
        <v>36945.43</v>
      </c>
      <c r="AP11" s="222">
        <v>14906.84</v>
      </c>
      <c r="AQ11" s="222">
        <f t="shared" si="5"/>
        <v>313.58660651929659</v>
      </c>
      <c r="AR11" s="222">
        <v>164.33</v>
      </c>
      <c r="AS11" s="222">
        <v>1518.18</v>
      </c>
      <c r="AT11" s="222">
        <v>270.99</v>
      </c>
      <c r="AU11" s="222">
        <v>430.69</v>
      </c>
      <c r="AV11" s="222">
        <v>2970.63</v>
      </c>
      <c r="AW11" s="222">
        <v>34765.040000000001</v>
      </c>
      <c r="AX11" s="222">
        <v>3731.75</v>
      </c>
      <c r="AY11" s="222"/>
      <c r="AZ11" s="223">
        <v>22023.53</v>
      </c>
      <c r="BA11" s="223">
        <v>737.83</v>
      </c>
      <c r="BB11" s="179"/>
      <c r="BC11" s="233">
        <f t="shared" si="6"/>
        <v>15323.873393480681</v>
      </c>
    </row>
    <row r="12" spans="1:55" s="71" customFormat="1" ht="25.5" x14ac:dyDescent="0.25">
      <c r="A12" s="13">
        <v>4</v>
      </c>
      <c r="B12" s="199"/>
      <c r="C12" s="161" t="s">
        <v>134</v>
      </c>
      <c r="D12" s="245">
        <v>1975</v>
      </c>
      <c r="E12" s="245">
        <v>2</v>
      </c>
      <c r="F12" s="245">
        <v>18</v>
      </c>
      <c r="G12" s="250">
        <v>42</v>
      </c>
      <c r="H12" s="247">
        <v>789.57</v>
      </c>
      <c r="I12" s="247">
        <v>86.42</v>
      </c>
      <c r="J12" s="247">
        <v>1013.02</v>
      </c>
      <c r="K12" s="247">
        <v>1023.4</v>
      </c>
      <c r="L12" s="248">
        <v>120.07</v>
      </c>
      <c r="M12" s="248">
        <v>69.3</v>
      </c>
      <c r="N12" s="248">
        <v>732.42</v>
      </c>
      <c r="O12" s="248">
        <v>651.76</v>
      </c>
      <c r="P12" s="248">
        <v>2039.76</v>
      </c>
      <c r="Q12" s="248">
        <v>2163.37</v>
      </c>
      <c r="R12" s="248">
        <v>90.34</v>
      </c>
      <c r="S12" s="248"/>
      <c r="T12" s="220">
        <v>1564.86</v>
      </c>
      <c r="U12" s="220">
        <v>1132.75</v>
      </c>
      <c r="V12" s="220">
        <v>451.7</v>
      </c>
      <c r="W12" s="220">
        <v>392.35</v>
      </c>
      <c r="X12" s="220">
        <v>2870</v>
      </c>
      <c r="Y12" s="220">
        <v>2249.86</v>
      </c>
      <c r="Z12" s="220"/>
      <c r="AA12" s="220"/>
      <c r="AB12" s="220">
        <v>145596.56</v>
      </c>
      <c r="AC12" s="220">
        <v>127718.6</v>
      </c>
      <c r="AD12" s="220">
        <v>14015.05</v>
      </c>
      <c r="AE12" s="220"/>
      <c r="AF12" s="220">
        <f t="shared" si="0"/>
        <v>131581.51</v>
      </c>
      <c r="AG12" s="220">
        <f t="shared" si="1"/>
        <v>115424.47323677155</v>
      </c>
      <c r="AH12" s="752">
        <f t="shared" si="2"/>
        <v>140463.67999999999</v>
      </c>
      <c r="AI12" s="752">
        <f t="shared" si="3"/>
        <v>123107.26323677154</v>
      </c>
      <c r="AJ12" s="747">
        <f t="shared" si="4"/>
        <v>151562.04970733091</v>
      </c>
      <c r="AK12" s="221">
        <v>32400</v>
      </c>
      <c r="AL12" s="222">
        <v>1826.44</v>
      </c>
      <c r="AM12" s="222">
        <v>519.59</v>
      </c>
      <c r="AN12" s="222">
        <v>839.76</v>
      </c>
      <c r="AO12" s="222">
        <v>37008.239999999998</v>
      </c>
      <c r="AP12" s="222">
        <v>14932.13</v>
      </c>
      <c r="AQ12" s="222">
        <f t="shared" si="5"/>
        <v>314.11970733090726</v>
      </c>
      <c r="AR12" s="222">
        <v>164.61</v>
      </c>
      <c r="AS12" s="222">
        <v>1119.7</v>
      </c>
      <c r="AT12" s="222">
        <v>270.99</v>
      </c>
      <c r="AU12" s="222">
        <v>430.69</v>
      </c>
      <c r="AV12" s="222">
        <v>1911.49</v>
      </c>
      <c r="AW12" s="222">
        <v>34824.14</v>
      </c>
      <c r="AX12" s="222">
        <v>3738.09</v>
      </c>
      <c r="AY12" s="222"/>
      <c r="AZ12" s="223">
        <v>20943.990000000002</v>
      </c>
      <c r="BA12" s="223">
        <v>318.07</v>
      </c>
      <c r="BB12" s="179"/>
      <c r="BC12" s="233">
        <f t="shared" si="6"/>
        <v>-11098.369707330916</v>
      </c>
    </row>
    <row r="13" spans="1:55" s="71" customFormat="1" ht="25.5" x14ac:dyDescent="0.25">
      <c r="A13" s="13">
        <v>5</v>
      </c>
      <c r="B13" s="199"/>
      <c r="C13" s="161" t="s">
        <v>135</v>
      </c>
      <c r="D13" s="245">
        <v>1975</v>
      </c>
      <c r="E13" s="245">
        <v>5</v>
      </c>
      <c r="F13" s="245">
        <v>90</v>
      </c>
      <c r="G13" s="249">
        <v>268</v>
      </c>
      <c r="H13" s="247">
        <v>4496.09</v>
      </c>
      <c r="I13" s="247">
        <v>423.6</v>
      </c>
      <c r="J13" s="247"/>
      <c r="K13" s="247">
        <v>118.18</v>
      </c>
      <c r="L13" s="248">
        <v>5128.6899999999996</v>
      </c>
      <c r="M13" s="248">
        <v>4552.1899999999996</v>
      </c>
      <c r="N13" s="248">
        <v>3589.87</v>
      </c>
      <c r="O13" s="248">
        <v>3307.78</v>
      </c>
      <c r="P13" s="248">
        <v>9997.26</v>
      </c>
      <c r="Q13" s="248">
        <v>11106.18</v>
      </c>
      <c r="R13" s="248">
        <v>442.73</v>
      </c>
      <c r="S13" s="248">
        <v>0.08</v>
      </c>
      <c r="T13" s="220">
        <v>7671.06</v>
      </c>
      <c r="U13" s="220">
        <v>5491.41</v>
      </c>
      <c r="V13" s="220">
        <v>2213.64</v>
      </c>
      <c r="W13" s="220">
        <v>1901.57</v>
      </c>
      <c r="X13" s="220">
        <v>16502.57</v>
      </c>
      <c r="Y13" s="220">
        <v>18348.7</v>
      </c>
      <c r="Z13" s="220"/>
      <c r="AA13" s="220"/>
      <c r="AB13" s="220">
        <v>818531.05</v>
      </c>
      <c r="AC13" s="220">
        <v>728960.61</v>
      </c>
      <c r="AD13" s="220">
        <v>76867.95</v>
      </c>
      <c r="AE13" s="220"/>
      <c r="AF13" s="220">
        <f t="shared" si="0"/>
        <v>741663.10000000009</v>
      </c>
      <c r="AG13" s="220">
        <f t="shared" si="1"/>
        <v>660504.18709283054</v>
      </c>
      <c r="AH13" s="752">
        <f t="shared" si="2"/>
        <v>787208.92</v>
      </c>
      <c r="AI13" s="752">
        <f t="shared" si="3"/>
        <v>705330.27709283051</v>
      </c>
      <c r="AJ13" s="747">
        <f t="shared" si="4"/>
        <v>697199.61837916018</v>
      </c>
      <c r="AK13" s="221">
        <v>12312</v>
      </c>
      <c r="AL13" s="222">
        <v>10398.41</v>
      </c>
      <c r="AM13" s="222">
        <v>2958.18</v>
      </c>
      <c r="AN13" s="222">
        <v>4780.96</v>
      </c>
      <c r="AO13" s="222">
        <v>210696.67</v>
      </c>
      <c r="AP13" s="222">
        <v>85012.28</v>
      </c>
      <c r="AQ13" s="222">
        <f t="shared" si="5"/>
        <v>1788.7083791600728</v>
      </c>
      <c r="AR13" s="222">
        <v>937.16</v>
      </c>
      <c r="AS13" s="222">
        <v>8187.73</v>
      </c>
      <c r="AT13" s="222">
        <v>1328.28</v>
      </c>
      <c r="AU13" s="222">
        <v>2107.4</v>
      </c>
      <c r="AV13" s="222">
        <v>10589</v>
      </c>
      <c r="AW13" s="222">
        <v>198262.19</v>
      </c>
      <c r="AX13" s="222">
        <v>21281.78</v>
      </c>
      <c r="AY13" s="222"/>
      <c r="AZ13" s="223">
        <v>124536.22</v>
      </c>
      <c r="BA13" s="223">
        <v>2022.65</v>
      </c>
      <c r="BB13" s="179"/>
      <c r="BC13" s="233">
        <f t="shared" si="6"/>
        <v>90009.301620839862</v>
      </c>
    </row>
    <row r="14" spans="1:55" s="71" customFormat="1" ht="25.5" x14ac:dyDescent="0.25">
      <c r="A14" s="13">
        <v>6</v>
      </c>
      <c r="B14" s="199"/>
      <c r="C14" s="161" t="s">
        <v>136</v>
      </c>
      <c r="D14" s="245">
        <v>1963</v>
      </c>
      <c r="E14" s="245">
        <v>2</v>
      </c>
      <c r="F14" s="245">
        <v>12</v>
      </c>
      <c r="G14" s="250">
        <v>39</v>
      </c>
      <c r="H14" s="247">
        <v>515.1</v>
      </c>
      <c r="I14" s="247">
        <v>49.6</v>
      </c>
      <c r="J14" s="247">
        <v>706.32</v>
      </c>
      <c r="K14" s="247">
        <v>662.77</v>
      </c>
      <c r="L14" s="248"/>
      <c r="M14" s="248"/>
      <c r="N14" s="248">
        <v>420.18</v>
      </c>
      <c r="O14" s="248">
        <v>387.54</v>
      </c>
      <c r="P14" s="248">
        <v>1170.54</v>
      </c>
      <c r="Q14" s="248">
        <v>1366.16</v>
      </c>
      <c r="R14" s="248">
        <v>51.83</v>
      </c>
      <c r="S14" s="248">
        <v>7.68</v>
      </c>
      <c r="T14" s="220">
        <v>898.14</v>
      </c>
      <c r="U14" s="220">
        <v>615.75</v>
      </c>
      <c r="V14" s="220">
        <v>259.14999999999998</v>
      </c>
      <c r="W14" s="220">
        <v>205.53</v>
      </c>
      <c r="X14" s="220"/>
      <c r="Y14" s="220"/>
      <c r="Z14" s="220"/>
      <c r="AA14" s="220"/>
      <c r="AB14" s="220">
        <v>91626</v>
      </c>
      <c r="AC14" s="220">
        <v>86444.36</v>
      </c>
      <c r="AD14" s="220">
        <v>7314.35</v>
      </c>
      <c r="AE14" s="220"/>
      <c r="AF14" s="220">
        <f t="shared" si="0"/>
        <v>84311.65</v>
      </c>
      <c r="AG14" s="220">
        <f t="shared" si="1"/>
        <v>79543.651635933027</v>
      </c>
      <c r="AH14" s="752">
        <f t="shared" si="2"/>
        <v>87817.81</v>
      </c>
      <c r="AI14" s="752">
        <f t="shared" si="3"/>
        <v>82789.08163593302</v>
      </c>
      <c r="AJ14" s="747">
        <f t="shared" si="4"/>
        <v>72313.695543328839</v>
      </c>
      <c r="AK14" s="221"/>
      <c r="AL14" s="222">
        <v>1191.52</v>
      </c>
      <c r="AM14" s="222">
        <v>338.98</v>
      </c>
      <c r="AN14" s="222">
        <v>547.85</v>
      </c>
      <c r="AO14" s="222">
        <v>24143.439999999999</v>
      </c>
      <c r="AP14" s="222">
        <v>9741.4699999999993</v>
      </c>
      <c r="AQ14" s="222">
        <f t="shared" si="5"/>
        <v>204.92554332883762</v>
      </c>
      <c r="AR14" s="222">
        <v>107.39</v>
      </c>
      <c r="AS14" s="222">
        <v>721.96</v>
      </c>
      <c r="AT14" s="222">
        <v>155.55000000000001</v>
      </c>
      <c r="AU14" s="222">
        <v>246.94</v>
      </c>
      <c r="AV14" s="222">
        <v>445.15</v>
      </c>
      <c r="AW14" s="222">
        <v>22718.59</v>
      </c>
      <c r="AX14" s="222">
        <v>2438.65</v>
      </c>
      <c r="AY14" s="222"/>
      <c r="AZ14" s="223">
        <v>9103.7800000000007</v>
      </c>
      <c r="BA14" s="223">
        <v>207.5</v>
      </c>
      <c r="BB14" s="179"/>
      <c r="BC14" s="233">
        <f t="shared" si="6"/>
        <v>15504.114456671159</v>
      </c>
    </row>
    <row r="15" spans="1:55" s="71" customFormat="1" ht="25.5" x14ac:dyDescent="0.25">
      <c r="A15" s="13">
        <v>7</v>
      </c>
      <c r="B15" s="199"/>
      <c r="C15" s="161" t="s">
        <v>137</v>
      </c>
      <c r="D15" s="245">
        <v>1963</v>
      </c>
      <c r="E15" s="245">
        <v>2</v>
      </c>
      <c r="F15" s="245">
        <v>16</v>
      </c>
      <c r="G15" s="249">
        <v>43</v>
      </c>
      <c r="H15" s="247">
        <v>624.4</v>
      </c>
      <c r="I15" s="247">
        <v>76</v>
      </c>
      <c r="J15" s="247">
        <v>1082.28</v>
      </c>
      <c r="K15" s="247">
        <v>1106.75</v>
      </c>
      <c r="L15" s="248"/>
      <c r="M15" s="248"/>
      <c r="N15" s="248">
        <v>792.72</v>
      </c>
      <c r="O15" s="248">
        <v>803.96</v>
      </c>
      <c r="P15" s="248"/>
      <c r="Q15" s="248"/>
      <c r="R15" s="248"/>
      <c r="S15" s="248"/>
      <c r="T15" s="220"/>
      <c r="U15" s="220"/>
      <c r="V15" s="220"/>
      <c r="W15" s="220"/>
      <c r="X15" s="220"/>
      <c r="Y15" s="220"/>
      <c r="Z15" s="220"/>
      <c r="AA15" s="220"/>
      <c r="AB15" s="220">
        <v>105471.72</v>
      </c>
      <c r="AC15" s="220">
        <v>109608.73</v>
      </c>
      <c r="AD15" s="220">
        <v>8859.4500000000007</v>
      </c>
      <c r="AE15" s="220"/>
      <c r="AF15" s="220">
        <f t="shared" si="0"/>
        <v>96612.27</v>
      </c>
      <c r="AG15" s="220">
        <f t="shared" si="1"/>
        <v>100401.77800378243</v>
      </c>
      <c r="AH15" s="752">
        <f t="shared" si="2"/>
        <v>98487.27</v>
      </c>
      <c r="AI15" s="752">
        <f t="shared" si="3"/>
        <v>102312.48800378243</v>
      </c>
      <c r="AJ15" s="747">
        <f t="shared" si="4"/>
        <v>99736.609064753502</v>
      </c>
      <c r="AK15" s="221"/>
      <c r="AL15" s="222">
        <v>1438.14</v>
      </c>
      <c r="AM15" s="222">
        <v>409.12</v>
      </c>
      <c r="AN15" s="222">
        <v>661.21</v>
      </c>
      <c r="AO15" s="222">
        <v>29139.93</v>
      </c>
      <c r="AP15" s="222">
        <v>7778.59</v>
      </c>
      <c r="AQ15" s="222">
        <f t="shared" si="5"/>
        <v>248.40906475349678</v>
      </c>
      <c r="AR15" s="222">
        <v>129.61000000000001</v>
      </c>
      <c r="AS15" s="222">
        <v>1134.54</v>
      </c>
      <c r="AT15" s="222"/>
      <c r="AU15" s="222">
        <v>465.11</v>
      </c>
      <c r="AV15" s="222">
        <v>9863.31</v>
      </c>
      <c r="AW15" s="222">
        <v>27420.2</v>
      </c>
      <c r="AX15" s="222">
        <v>2943.34</v>
      </c>
      <c r="AY15" s="222"/>
      <c r="AZ15" s="223">
        <v>17399.25</v>
      </c>
      <c r="BA15" s="223">
        <v>705.85</v>
      </c>
      <c r="BB15" s="179"/>
      <c r="BC15" s="233">
        <f t="shared" si="6"/>
        <v>-1249.339064753498</v>
      </c>
    </row>
    <row r="16" spans="1:55" s="71" customFormat="1" ht="25.5" x14ac:dyDescent="0.25">
      <c r="A16" s="13">
        <v>8</v>
      </c>
      <c r="B16" s="199"/>
      <c r="C16" s="161" t="s">
        <v>138</v>
      </c>
      <c r="D16" s="245">
        <v>1963</v>
      </c>
      <c r="E16" s="245">
        <v>2</v>
      </c>
      <c r="F16" s="245">
        <v>16</v>
      </c>
      <c r="G16" s="250">
        <v>27</v>
      </c>
      <c r="H16" s="247">
        <v>630.29999999999995</v>
      </c>
      <c r="I16" s="247">
        <v>76</v>
      </c>
      <c r="J16" s="247">
        <v>1082.28</v>
      </c>
      <c r="K16" s="247">
        <v>647.13</v>
      </c>
      <c r="L16" s="248"/>
      <c r="M16" s="248"/>
      <c r="N16" s="248">
        <v>644.04</v>
      </c>
      <c r="O16" s="248">
        <v>374.52</v>
      </c>
      <c r="P16" s="248">
        <v>1793.76</v>
      </c>
      <c r="Q16" s="248">
        <v>1294.72</v>
      </c>
      <c r="R16" s="248">
        <v>79.42</v>
      </c>
      <c r="S16" s="248"/>
      <c r="T16" s="220">
        <v>1376.22</v>
      </c>
      <c r="U16" s="220">
        <v>595.79999999999995</v>
      </c>
      <c r="V16" s="220">
        <v>397.1</v>
      </c>
      <c r="W16" s="220">
        <v>206.36</v>
      </c>
      <c r="X16" s="220"/>
      <c r="Y16" s="220"/>
      <c r="Z16" s="220"/>
      <c r="AA16" s="220"/>
      <c r="AB16" s="220">
        <v>106930.64</v>
      </c>
      <c r="AC16" s="220">
        <v>61213.59</v>
      </c>
      <c r="AD16" s="220">
        <v>8981.9500000000007</v>
      </c>
      <c r="AE16" s="220"/>
      <c r="AF16" s="220">
        <f t="shared" si="0"/>
        <v>97948.69</v>
      </c>
      <c r="AG16" s="220">
        <f t="shared" si="1"/>
        <v>56071.776533808268</v>
      </c>
      <c r="AH16" s="752">
        <f t="shared" si="2"/>
        <v>103321.51000000001</v>
      </c>
      <c r="AI16" s="752">
        <f t="shared" si="3"/>
        <v>59190.306533808267</v>
      </c>
      <c r="AJ16" s="747">
        <f t="shared" si="4"/>
        <v>93460.286299670304</v>
      </c>
      <c r="AK16" s="221"/>
      <c r="AL16" s="222">
        <v>1458.05</v>
      </c>
      <c r="AM16" s="222">
        <v>414.79</v>
      </c>
      <c r="AN16" s="222">
        <v>670.37</v>
      </c>
      <c r="AO16" s="222">
        <v>29543.03</v>
      </c>
      <c r="AP16" s="222">
        <v>7886.15</v>
      </c>
      <c r="AQ16" s="222">
        <f t="shared" si="5"/>
        <v>250.75629967028991</v>
      </c>
      <c r="AR16" s="222">
        <v>131.41</v>
      </c>
      <c r="AS16" s="222">
        <v>1134.54</v>
      </c>
      <c r="AT16" s="222">
        <v>238.29</v>
      </c>
      <c r="AU16" s="222">
        <v>378.99</v>
      </c>
      <c r="AV16" s="222">
        <v>2490.4299999999998</v>
      </c>
      <c r="AW16" s="222">
        <v>27799.49</v>
      </c>
      <c r="AX16" s="222">
        <v>2984.05</v>
      </c>
      <c r="AY16" s="222"/>
      <c r="AZ16" s="223">
        <v>17611.830000000002</v>
      </c>
      <c r="BA16" s="223">
        <v>468.11</v>
      </c>
      <c r="BB16" s="179"/>
      <c r="BC16" s="233">
        <f t="shared" si="6"/>
        <v>9861.223700329705</v>
      </c>
    </row>
    <row r="17" spans="1:55" s="71" customFormat="1" ht="25.5" x14ac:dyDescent="0.25">
      <c r="A17" s="13">
        <v>9</v>
      </c>
      <c r="B17" s="199"/>
      <c r="C17" s="161" t="s">
        <v>139</v>
      </c>
      <c r="D17" s="245">
        <v>1963</v>
      </c>
      <c r="E17" s="245">
        <v>2</v>
      </c>
      <c r="F17" s="245">
        <v>8</v>
      </c>
      <c r="G17" s="249">
        <v>18</v>
      </c>
      <c r="H17" s="247">
        <v>313</v>
      </c>
      <c r="I17" s="247">
        <v>73.5</v>
      </c>
      <c r="J17" s="247">
        <v>523.38</v>
      </c>
      <c r="K17" s="247">
        <v>608.35</v>
      </c>
      <c r="L17" s="248">
        <v>461.03</v>
      </c>
      <c r="M17" s="248">
        <v>450.91</v>
      </c>
      <c r="N17" s="248">
        <v>383.46</v>
      </c>
      <c r="O17" s="248">
        <v>407.13</v>
      </c>
      <c r="P17" s="248"/>
      <c r="Q17" s="248"/>
      <c r="R17" s="248"/>
      <c r="S17" s="248"/>
      <c r="T17" s="220"/>
      <c r="U17" s="220"/>
      <c r="V17" s="220"/>
      <c r="W17" s="220"/>
      <c r="X17" s="220"/>
      <c r="Y17" s="220"/>
      <c r="Z17" s="220"/>
      <c r="AA17" s="220"/>
      <c r="AB17" s="220">
        <v>53034.79</v>
      </c>
      <c r="AC17" s="220">
        <v>51788.73</v>
      </c>
      <c r="AD17" s="220">
        <v>4507.1499999999996</v>
      </c>
      <c r="AE17" s="220"/>
      <c r="AF17" s="220">
        <f t="shared" si="0"/>
        <v>48527.64</v>
      </c>
      <c r="AG17" s="220">
        <f t="shared" si="1"/>
        <v>47387.476135894947</v>
      </c>
      <c r="AH17" s="752">
        <f t="shared" si="2"/>
        <v>49895.51</v>
      </c>
      <c r="AI17" s="752">
        <f t="shared" si="3"/>
        <v>48853.866135894947</v>
      </c>
      <c r="AJ17" s="747">
        <f t="shared" si="4"/>
        <v>45469.502801518007</v>
      </c>
      <c r="AK17" s="221"/>
      <c r="AL17" s="222">
        <v>724.02</v>
      </c>
      <c r="AM17" s="222">
        <v>205.98</v>
      </c>
      <c r="AN17" s="222">
        <v>332.9</v>
      </c>
      <c r="AO17" s="222">
        <v>14670.74</v>
      </c>
      <c r="AP17" s="222">
        <v>3916.18</v>
      </c>
      <c r="AQ17" s="222">
        <f t="shared" si="5"/>
        <v>124.52280151800849</v>
      </c>
      <c r="AR17" s="222">
        <v>65.25</v>
      </c>
      <c r="AS17" s="222">
        <v>550.08000000000004</v>
      </c>
      <c r="AT17" s="222"/>
      <c r="AU17" s="222">
        <v>449.79</v>
      </c>
      <c r="AV17" s="222">
        <v>859.88</v>
      </c>
      <c r="AW17" s="222">
        <v>13804.93</v>
      </c>
      <c r="AX17" s="222">
        <v>1481.84</v>
      </c>
      <c r="AY17" s="222"/>
      <c r="AZ17" s="223">
        <v>8157.3</v>
      </c>
      <c r="BA17" s="223">
        <v>126.09</v>
      </c>
      <c r="BB17" s="179"/>
      <c r="BC17" s="233">
        <f t="shared" si="6"/>
        <v>4426.0071984819951</v>
      </c>
    </row>
    <row r="18" spans="1:55" s="108" customFormat="1" ht="25.5" x14ac:dyDescent="0.25">
      <c r="A18" s="29">
        <v>10</v>
      </c>
      <c r="B18" s="201"/>
      <c r="C18" s="162" t="s">
        <v>140</v>
      </c>
      <c r="D18" s="251">
        <v>1977</v>
      </c>
      <c r="E18" s="251">
        <v>5</v>
      </c>
      <c r="F18" s="251">
        <v>90</v>
      </c>
      <c r="G18" s="252">
        <v>231</v>
      </c>
      <c r="H18" s="247">
        <v>4846.6000000000004</v>
      </c>
      <c r="I18" s="247">
        <v>585</v>
      </c>
      <c r="J18" s="247"/>
      <c r="K18" s="247">
        <v>13.31</v>
      </c>
      <c r="L18" s="248">
        <v>7575.85</v>
      </c>
      <c r="M18" s="248">
        <v>6825.54</v>
      </c>
      <c r="N18" s="248">
        <v>4957.1499999999996</v>
      </c>
      <c r="O18" s="248">
        <v>4489.8900000000003</v>
      </c>
      <c r="P18" s="248">
        <v>13806.95</v>
      </c>
      <c r="Q18" s="248">
        <v>15146.09</v>
      </c>
      <c r="R18" s="248">
        <v>611.41</v>
      </c>
      <c r="S18" s="248">
        <v>6.97</v>
      </c>
      <c r="T18" s="225">
        <v>10593.24</v>
      </c>
      <c r="U18" s="225">
        <v>7599.75</v>
      </c>
      <c r="V18" s="225">
        <v>3057.05</v>
      </c>
      <c r="W18" s="225">
        <v>2624.9</v>
      </c>
      <c r="X18" s="225">
        <v>31570</v>
      </c>
      <c r="Y18" s="225">
        <v>34129.31</v>
      </c>
      <c r="Z18" s="225"/>
      <c r="AA18" s="225"/>
      <c r="AB18" s="225">
        <v>885332.99</v>
      </c>
      <c r="AC18" s="225">
        <v>784069.19</v>
      </c>
      <c r="AD18" s="225">
        <v>80198.710000000006</v>
      </c>
      <c r="AE18" s="225"/>
      <c r="AF18" s="220">
        <f t="shared" si="0"/>
        <v>805134.28</v>
      </c>
      <c r="AG18" s="220">
        <f t="shared" si="1"/>
        <v>713043.55523997045</v>
      </c>
      <c r="AH18" s="752">
        <f t="shared" si="2"/>
        <v>877305.93</v>
      </c>
      <c r="AI18" s="752">
        <f t="shared" si="3"/>
        <v>783879.31523997046</v>
      </c>
      <c r="AJ18" s="747">
        <f t="shared" si="4"/>
        <v>776812.39402503881</v>
      </c>
      <c r="AK18" s="210">
        <v>39312</v>
      </c>
      <c r="AL18" s="222">
        <v>11211.31</v>
      </c>
      <c r="AM18" s="222">
        <v>3189.43</v>
      </c>
      <c r="AN18" s="222">
        <v>5154.71</v>
      </c>
      <c r="AO18" s="222">
        <v>227166.82</v>
      </c>
      <c r="AP18" s="222">
        <v>91644.09</v>
      </c>
      <c r="AQ18" s="222">
        <f t="shared" si="5"/>
        <v>1928.1540250389137</v>
      </c>
      <c r="AR18" s="222">
        <v>1010.41</v>
      </c>
      <c r="AS18" s="222">
        <v>9270.58</v>
      </c>
      <c r="AT18" s="222">
        <v>1834.32</v>
      </c>
      <c r="AU18" s="222">
        <v>2911.35</v>
      </c>
      <c r="AV18" s="222">
        <v>10080.08</v>
      </c>
      <c r="AW18" s="222">
        <v>213760.37</v>
      </c>
      <c r="AX18" s="222">
        <v>22945.33</v>
      </c>
      <c r="AY18" s="222"/>
      <c r="AZ18" s="223">
        <v>132462.1</v>
      </c>
      <c r="BA18" s="223">
        <v>2931.34</v>
      </c>
      <c r="BB18" s="335"/>
      <c r="BC18" s="233">
        <f t="shared" si="6"/>
        <v>100493.53597496124</v>
      </c>
    </row>
    <row r="19" spans="1:55" s="71" customFormat="1" ht="25.5" x14ac:dyDescent="0.25">
      <c r="A19" s="13">
        <v>11</v>
      </c>
      <c r="B19" s="199"/>
      <c r="C19" s="161" t="s">
        <v>141</v>
      </c>
      <c r="D19" s="245">
        <v>1983</v>
      </c>
      <c r="E19" s="245">
        <v>4</v>
      </c>
      <c r="F19" s="245">
        <v>48</v>
      </c>
      <c r="G19" s="249">
        <v>143</v>
      </c>
      <c r="H19" s="247">
        <v>2619.02</v>
      </c>
      <c r="I19" s="247">
        <v>317.89999999999998</v>
      </c>
      <c r="J19" s="247"/>
      <c r="K19" s="247">
        <v>54.79</v>
      </c>
      <c r="L19" s="248">
        <v>4387.97</v>
      </c>
      <c r="M19" s="248">
        <v>3998.45</v>
      </c>
      <c r="N19" s="248">
        <v>2694.3</v>
      </c>
      <c r="O19" s="248">
        <v>2495.86</v>
      </c>
      <c r="P19" s="248">
        <v>7502.94</v>
      </c>
      <c r="Q19" s="248">
        <v>8245.2999999999993</v>
      </c>
      <c r="R19" s="248">
        <v>332.28</v>
      </c>
      <c r="S19" s="248">
        <v>0.02</v>
      </c>
      <c r="T19" s="220">
        <v>5756.82</v>
      </c>
      <c r="U19" s="220">
        <v>4371.46</v>
      </c>
      <c r="V19" s="220">
        <v>1661.4</v>
      </c>
      <c r="W19" s="220">
        <v>1513.89</v>
      </c>
      <c r="X19" s="220">
        <v>13991.18</v>
      </c>
      <c r="Y19" s="220">
        <v>14936.46</v>
      </c>
      <c r="Z19" s="220"/>
      <c r="AA19" s="220"/>
      <c r="AB19" s="220">
        <v>482764.41</v>
      </c>
      <c r="AC19" s="220">
        <v>436779.65</v>
      </c>
      <c r="AD19" s="220">
        <v>44916.1</v>
      </c>
      <c r="AE19" s="220"/>
      <c r="AF19" s="220">
        <f t="shared" si="0"/>
        <v>437848.31</v>
      </c>
      <c r="AG19" s="220">
        <f t="shared" si="1"/>
        <v>396141.9434272123</v>
      </c>
      <c r="AH19" s="752">
        <f t="shared" si="2"/>
        <v>474175.2</v>
      </c>
      <c r="AI19" s="752">
        <f t="shared" si="3"/>
        <v>431758.17342721228</v>
      </c>
      <c r="AJ19" s="747">
        <f t="shared" si="4"/>
        <v>431124.24155792873</v>
      </c>
      <c r="AK19" s="221">
        <v>14400</v>
      </c>
      <c r="AL19" s="222">
        <v>6058.36</v>
      </c>
      <c r="AM19" s="222">
        <v>1723.52</v>
      </c>
      <c r="AN19" s="222">
        <v>2785.52</v>
      </c>
      <c r="AO19" s="222">
        <v>122757.52</v>
      </c>
      <c r="AP19" s="222">
        <v>49530.48</v>
      </c>
      <c r="AQ19" s="222">
        <f t="shared" si="5"/>
        <v>1041.9415579287368</v>
      </c>
      <c r="AR19" s="222">
        <v>546.02</v>
      </c>
      <c r="AS19" s="222">
        <v>6263.43</v>
      </c>
      <c r="AT19" s="222">
        <v>996.75</v>
      </c>
      <c r="AU19" s="222">
        <v>1582.98</v>
      </c>
      <c r="AV19" s="222">
        <v>23906.43</v>
      </c>
      <c r="AW19" s="222">
        <v>115512.86</v>
      </c>
      <c r="AX19" s="222">
        <v>12399.36</v>
      </c>
      <c r="AY19" s="222"/>
      <c r="AZ19" s="223">
        <v>69859.63</v>
      </c>
      <c r="BA19" s="223">
        <v>1759.44</v>
      </c>
      <c r="BB19" s="179"/>
      <c r="BC19" s="233">
        <f t="shared" si="6"/>
        <v>43050.958442071278</v>
      </c>
    </row>
    <row r="20" spans="1:55" s="71" customFormat="1" ht="25.5" x14ac:dyDescent="0.25">
      <c r="A20" s="13">
        <v>12</v>
      </c>
      <c r="B20" s="199"/>
      <c r="C20" s="161" t="s">
        <v>142</v>
      </c>
      <c r="D20" s="245">
        <v>1983</v>
      </c>
      <c r="E20" s="245">
        <v>4</v>
      </c>
      <c r="F20" s="245">
        <v>48</v>
      </c>
      <c r="G20" s="250">
        <v>137</v>
      </c>
      <c r="H20" s="247">
        <v>2614.1999999999998</v>
      </c>
      <c r="I20" s="247">
        <v>317.89999999999998</v>
      </c>
      <c r="J20" s="247"/>
      <c r="K20" s="247">
        <v>133.25</v>
      </c>
      <c r="L20" s="248">
        <v>4306.9799999999996</v>
      </c>
      <c r="M20" s="248">
        <v>4143.04</v>
      </c>
      <c r="N20" s="248">
        <v>2692.42</v>
      </c>
      <c r="O20" s="248">
        <v>2706.41</v>
      </c>
      <c r="P20" s="248">
        <v>7493.9</v>
      </c>
      <c r="Q20" s="248">
        <v>8915.1200000000008</v>
      </c>
      <c r="R20" s="248">
        <v>332.29</v>
      </c>
      <c r="S20" s="248">
        <v>0.11</v>
      </c>
      <c r="T20" s="220">
        <v>5757</v>
      </c>
      <c r="U20" s="220">
        <v>4606.6499999999996</v>
      </c>
      <c r="V20" s="220">
        <v>1661.45</v>
      </c>
      <c r="W20" s="220">
        <v>1610.61</v>
      </c>
      <c r="X20" s="220">
        <v>15785.06</v>
      </c>
      <c r="Y20" s="220">
        <v>19020.3</v>
      </c>
      <c r="Z20" s="220"/>
      <c r="AA20" s="220"/>
      <c r="AB20" s="220">
        <v>481377.59</v>
      </c>
      <c r="AC20" s="220">
        <v>469220.32</v>
      </c>
      <c r="AD20" s="220">
        <v>44816.4</v>
      </c>
      <c r="AE20" s="220"/>
      <c r="AF20" s="220">
        <f t="shared" si="0"/>
        <v>436561.19</v>
      </c>
      <c r="AG20" s="220">
        <f t="shared" si="1"/>
        <v>425535.76553362363</v>
      </c>
      <c r="AH20" s="752">
        <f t="shared" si="2"/>
        <v>474590.29</v>
      </c>
      <c r="AI20" s="752">
        <f t="shared" si="3"/>
        <v>466671.25553362363</v>
      </c>
      <c r="AJ20" s="747">
        <f t="shared" si="4"/>
        <v>418477.73398635263</v>
      </c>
      <c r="AK20" s="221"/>
      <c r="AL20" s="222">
        <v>6044.94</v>
      </c>
      <c r="AM20" s="222">
        <v>1719.68</v>
      </c>
      <c r="AN20" s="222">
        <v>2779.32</v>
      </c>
      <c r="AO20" s="222">
        <v>122484.27</v>
      </c>
      <c r="AP20" s="222">
        <v>49420.4</v>
      </c>
      <c r="AQ20" s="222">
        <f t="shared" si="5"/>
        <v>1040.0239863526447</v>
      </c>
      <c r="AR20" s="222">
        <v>544.79999999999995</v>
      </c>
      <c r="AS20" s="222">
        <v>7499.63</v>
      </c>
      <c r="AT20" s="222">
        <v>996.75</v>
      </c>
      <c r="AU20" s="222">
        <v>1582.98</v>
      </c>
      <c r="AV20" s="222">
        <v>5298.28</v>
      </c>
      <c r="AW20" s="222">
        <v>115255.76</v>
      </c>
      <c r="AX20" s="222">
        <v>12371.75</v>
      </c>
      <c r="AY20" s="222"/>
      <c r="AZ20" s="223">
        <v>89574.35</v>
      </c>
      <c r="BA20" s="223">
        <v>1864.8</v>
      </c>
      <c r="BB20" s="179"/>
      <c r="BC20" s="233">
        <f t="shared" si="6"/>
        <v>56112.55601364735</v>
      </c>
    </row>
    <row r="21" spans="1:55" s="71" customFormat="1" x14ac:dyDescent="0.25">
      <c r="A21" s="13">
        <v>13</v>
      </c>
      <c r="B21" s="199"/>
      <c r="C21" s="163" t="s">
        <v>143</v>
      </c>
      <c r="D21" s="245">
        <v>1975</v>
      </c>
      <c r="E21" s="245">
        <v>2</v>
      </c>
      <c r="F21" s="245">
        <v>12</v>
      </c>
      <c r="G21" s="249">
        <v>30</v>
      </c>
      <c r="H21" s="247">
        <v>503.62</v>
      </c>
      <c r="I21" s="247">
        <v>58.2</v>
      </c>
      <c r="J21" s="247">
        <v>828.96</v>
      </c>
      <c r="K21" s="247">
        <v>711.64</v>
      </c>
      <c r="L21" s="248"/>
      <c r="M21" s="248"/>
      <c r="N21" s="248">
        <v>607.02</v>
      </c>
      <c r="O21" s="248">
        <v>472.45</v>
      </c>
      <c r="P21" s="248"/>
      <c r="Q21" s="248"/>
      <c r="R21" s="248"/>
      <c r="S21" s="248"/>
      <c r="T21" s="220"/>
      <c r="U21" s="220"/>
      <c r="V21" s="220"/>
      <c r="W21" s="220"/>
      <c r="X21" s="220">
        <v>1793.75</v>
      </c>
      <c r="Y21" s="220">
        <v>2431.38</v>
      </c>
      <c r="Z21" s="220"/>
      <c r="AA21" s="220"/>
      <c r="AB21" s="220">
        <v>87896.8</v>
      </c>
      <c r="AC21" s="220">
        <v>65221.63</v>
      </c>
      <c r="AD21" s="220">
        <v>7529.2</v>
      </c>
      <c r="AE21" s="220"/>
      <c r="AF21" s="220">
        <f t="shared" si="0"/>
        <v>80367.600000000006</v>
      </c>
      <c r="AG21" s="220">
        <f t="shared" si="1"/>
        <v>59634.774772096367</v>
      </c>
      <c r="AH21" s="752">
        <f t="shared" si="2"/>
        <v>83597.33</v>
      </c>
      <c r="AI21" s="752">
        <f t="shared" si="3"/>
        <v>63250.244772096368</v>
      </c>
      <c r="AJ21" s="747">
        <f t="shared" si="4"/>
        <v>85229.938381151747</v>
      </c>
      <c r="AK21" s="221">
        <v>3600</v>
      </c>
      <c r="AL21" s="222">
        <v>1165.01</v>
      </c>
      <c r="AM21" s="222">
        <v>331.42</v>
      </c>
      <c r="AN21" s="222">
        <v>535.63</v>
      </c>
      <c r="AO21" s="222">
        <v>23605.34</v>
      </c>
      <c r="AP21" s="222">
        <v>6301.21</v>
      </c>
      <c r="AQ21" s="222">
        <f t="shared" si="5"/>
        <v>200.35838115175537</v>
      </c>
      <c r="AR21" s="222">
        <v>105</v>
      </c>
      <c r="AS21" s="222">
        <v>859.5</v>
      </c>
      <c r="AT21" s="222"/>
      <c r="AU21" s="222">
        <v>356</v>
      </c>
      <c r="AV21" s="222">
        <v>2398.75</v>
      </c>
      <c r="AW21" s="222">
        <v>22212.26</v>
      </c>
      <c r="AX21" s="222">
        <v>2384.31</v>
      </c>
      <c r="AY21" s="222"/>
      <c r="AZ21" s="223">
        <v>20972.28</v>
      </c>
      <c r="BA21" s="223">
        <v>202.87</v>
      </c>
      <c r="BB21" s="179"/>
      <c r="BC21" s="233">
        <f t="shared" si="6"/>
        <v>-1632.6083811517456</v>
      </c>
    </row>
    <row r="22" spans="1:55" s="71" customFormat="1" x14ac:dyDescent="0.25">
      <c r="A22" s="13">
        <v>14</v>
      </c>
      <c r="B22" s="199"/>
      <c r="C22" s="163" t="s">
        <v>78</v>
      </c>
      <c r="D22" s="245">
        <v>1975</v>
      </c>
      <c r="E22" s="245">
        <v>2</v>
      </c>
      <c r="F22" s="245">
        <v>12</v>
      </c>
      <c r="G22" s="250">
        <v>31</v>
      </c>
      <c r="H22" s="247">
        <v>528.76</v>
      </c>
      <c r="I22" s="247">
        <v>52.8</v>
      </c>
      <c r="J22" s="247">
        <v>828.96</v>
      </c>
      <c r="K22" s="247">
        <v>827.38</v>
      </c>
      <c r="L22" s="248"/>
      <c r="M22" s="248"/>
      <c r="N22" s="248">
        <v>607.08000000000004</v>
      </c>
      <c r="O22" s="248">
        <v>610.66</v>
      </c>
      <c r="P22" s="248"/>
      <c r="Q22" s="248"/>
      <c r="R22" s="248"/>
      <c r="S22" s="248"/>
      <c r="T22" s="220"/>
      <c r="U22" s="220"/>
      <c r="V22" s="220"/>
      <c r="W22" s="220"/>
      <c r="X22" s="220">
        <v>3587.5</v>
      </c>
      <c r="Y22" s="220">
        <v>4151.25</v>
      </c>
      <c r="Z22" s="220"/>
      <c r="AA22" s="220"/>
      <c r="AB22" s="220">
        <v>91047.13</v>
      </c>
      <c r="AC22" s="220">
        <v>89602.35</v>
      </c>
      <c r="AD22" s="220">
        <v>7876.45</v>
      </c>
      <c r="AE22" s="220"/>
      <c r="AF22" s="220">
        <f t="shared" si="0"/>
        <v>83170.680000000008</v>
      </c>
      <c r="AG22" s="220">
        <f t="shared" si="1"/>
        <v>81850.887327233708</v>
      </c>
      <c r="AH22" s="752">
        <f t="shared" si="2"/>
        <v>88194.22</v>
      </c>
      <c r="AI22" s="752">
        <f t="shared" si="3"/>
        <v>87440.177327233701</v>
      </c>
      <c r="AJ22" s="747">
        <f t="shared" si="4"/>
        <v>86731.689988915838</v>
      </c>
      <c r="AK22" s="221">
        <v>3600</v>
      </c>
      <c r="AL22" s="222">
        <v>1210.6600000000001</v>
      </c>
      <c r="AM22" s="222">
        <v>344.41</v>
      </c>
      <c r="AN22" s="222">
        <v>556.62</v>
      </c>
      <c r="AO22" s="222">
        <v>24530.14</v>
      </c>
      <c r="AP22" s="222">
        <v>6548.05</v>
      </c>
      <c r="AQ22" s="222">
        <f t="shared" si="5"/>
        <v>210.35998891585356</v>
      </c>
      <c r="AR22" s="222">
        <v>109.11</v>
      </c>
      <c r="AS22" s="222">
        <v>859.5</v>
      </c>
      <c r="AT22" s="222"/>
      <c r="AU22" s="222">
        <v>356</v>
      </c>
      <c r="AV22" s="222">
        <v>485.74</v>
      </c>
      <c r="AW22" s="222">
        <v>23082.46</v>
      </c>
      <c r="AX22" s="222">
        <v>2477.6999999999998</v>
      </c>
      <c r="AY22" s="222"/>
      <c r="AZ22" s="223">
        <v>21988.01</v>
      </c>
      <c r="BA22" s="223">
        <v>372.93</v>
      </c>
      <c r="BB22" s="179"/>
      <c r="BC22" s="233">
        <f t="shared" si="6"/>
        <v>1462.5300110841636</v>
      </c>
    </row>
    <row r="23" spans="1:55" s="71" customFormat="1" x14ac:dyDescent="0.25">
      <c r="A23" s="13">
        <v>15</v>
      </c>
      <c r="B23" s="199"/>
      <c r="C23" s="163" t="s">
        <v>144</v>
      </c>
      <c r="D23" s="245">
        <v>1975</v>
      </c>
      <c r="E23" s="245">
        <v>2</v>
      </c>
      <c r="F23" s="245">
        <v>12</v>
      </c>
      <c r="G23" s="249">
        <v>23</v>
      </c>
      <c r="H23" s="247">
        <v>528.33000000000004</v>
      </c>
      <c r="I23" s="247">
        <v>52.4</v>
      </c>
      <c r="J23" s="247">
        <v>828.84</v>
      </c>
      <c r="K23" s="247">
        <v>782.65</v>
      </c>
      <c r="L23" s="248"/>
      <c r="M23" s="248"/>
      <c r="N23" s="248">
        <v>607.02</v>
      </c>
      <c r="O23" s="248">
        <v>578.66</v>
      </c>
      <c r="P23" s="248"/>
      <c r="Q23" s="248"/>
      <c r="R23" s="248"/>
      <c r="S23" s="248"/>
      <c r="T23" s="220"/>
      <c r="U23" s="220"/>
      <c r="V23" s="220"/>
      <c r="W23" s="220"/>
      <c r="X23" s="220">
        <v>4305</v>
      </c>
      <c r="Y23" s="220">
        <v>4838.7700000000004</v>
      </c>
      <c r="Z23" s="220"/>
      <c r="AA23" s="220"/>
      <c r="AB23" s="220">
        <v>91624.92</v>
      </c>
      <c r="AC23" s="220">
        <v>85263.82</v>
      </c>
      <c r="AD23" s="220">
        <v>7926.45</v>
      </c>
      <c r="AE23" s="220"/>
      <c r="AF23" s="220">
        <f t="shared" si="0"/>
        <v>83698.47</v>
      </c>
      <c r="AG23" s="220">
        <f t="shared" si="1"/>
        <v>77887.667245498276</v>
      </c>
      <c r="AH23" s="752">
        <f t="shared" si="2"/>
        <v>89439.33</v>
      </c>
      <c r="AI23" s="752">
        <f t="shared" si="3"/>
        <v>84087.747245498278</v>
      </c>
      <c r="AJ23" s="747">
        <f t="shared" si="4"/>
        <v>87276.908919252426</v>
      </c>
      <c r="AK23" s="221">
        <v>3600</v>
      </c>
      <c r="AL23" s="222">
        <v>1218.3599999999999</v>
      </c>
      <c r="AM23" s="222">
        <v>346.59</v>
      </c>
      <c r="AN23" s="222">
        <v>560.15</v>
      </c>
      <c r="AO23" s="222">
        <v>24685.75</v>
      </c>
      <c r="AP23" s="222">
        <v>6589.54</v>
      </c>
      <c r="AQ23" s="222">
        <f t="shared" si="5"/>
        <v>210.1889192524263</v>
      </c>
      <c r="AR23" s="222">
        <v>109.8</v>
      </c>
      <c r="AS23" s="222">
        <v>859.5</v>
      </c>
      <c r="AT23" s="222"/>
      <c r="AU23" s="222">
        <v>321.57</v>
      </c>
      <c r="AV23" s="222">
        <v>594.15</v>
      </c>
      <c r="AW23" s="222">
        <v>23228.9</v>
      </c>
      <c r="AX23" s="222">
        <v>2493.44</v>
      </c>
      <c r="AY23" s="222"/>
      <c r="AZ23" s="223">
        <v>22092.1</v>
      </c>
      <c r="BA23" s="223">
        <v>366.87</v>
      </c>
      <c r="BB23" s="179"/>
      <c r="BC23" s="233">
        <f t="shared" si="6"/>
        <v>2162.4210807475756</v>
      </c>
    </row>
    <row r="24" spans="1:55" s="71" customFormat="1" x14ac:dyDescent="0.25">
      <c r="A24" s="13">
        <v>16</v>
      </c>
      <c r="B24" s="199"/>
      <c r="C24" s="163" t="s">
        <v>145</v>
      </c>
      <c r="D24" s="245">
        <v>1968</v>
      </c>
      <c r="E24" s="245">
        <v>2</v>
      </c>
      <c r="F24" s="245">
        <v>16</v>
      </c>
      <c r="G24" s="250">
        <v>35</v>
      </c>
      <c r="H24" s="247">
        <v>715.87</v>
      </c>
      <c r="I24" s="247">
        <v>76</v>
      </c>
      <c r="J24" s="247">
        <v>1082.3399999999999</v>
      </c>
      <c r="K24" s="247">
        <v>950.37</v>
      </c>
      <c r="L24" s="248"/>
      <c r="M24" s="248"/>
      <c r="N24" s="248">
        <v>792.6</v>
      </c>
      <c r="O24" s="248">
        <v>702.53</v>
      </c>
      <c r="P24" s="248"/>
      <c r="Q24" s="248"/>
      <c r="R24" s="248"/>
      <c r="S24" s="248"/>
      <c r="T24" s="220"/>
      <c r="U24" s="220"/>
      <c r="V24" s="220"/>
      <c r="W24" s="220"/>
      <c r="X24" s="220"/>
      <c r="Y24" s="220"/>
      <c r="Z24" s="220"/>
      <c r="AA24" s="220"/>
      <c r="AB24" s="220">
        <v>120287.75</v>
      </c>
      <c r="AC24" s="220">
        <v>104658.03</v>
      </c>
      <c r="AD24" s="220">
        <v>10845.4</v>
      </c>
      <c r="AE24" s="220"/>
      <c r="AF24" s="220">
        <f t="shared" si="0"/>
        <v>109442.35</v>
      </c>
      <c r="AG24" s="220">
        <f t="shared" si="1"/>
        <v>95221.838878609837</v>
      </c>
      <c r="AH24" s="752">
        <f t="shared" si="2"/>
        <v>111317.29000000001</v>
      </c>
      <c r="AI24" s="752">
        <f t="shared" si="3"/>
        <v>96874.738878609831</v>
      </c>
      <c r="AJ24" s="747">
        <f t="shared" si="4"/>
        <v>112996.39916269232</v>
      </c>
      <c r="AK24" s="221"/>
      <c r="AL24" s="222">
        <v>1655.94</v>
      </c>
      <c r="AM24" s="222">
        <v>471.1</v>
      </c>
      <c r="AN24" s="222">
        <v>761.38</v>
      </c>
      <c r="AO24" s="222">
        <v>33553.800000000003</v>
      </c>
      <c r="AP24" s="222">
        <v>8956.7900000000009</v>
      </c>
      <c r="AQ24" s="222">
        <f t="shared" si="5"/>
        <v>284.79916269232183</v>
      </c>
      <c r="AR24" s="222">
        <v>149.25</v>
      </c>
      <c r="AS24" s="222">
        <v>1134.54</v>
      </c>
      <c r="AT24" s="222"/>
      <c r="AU24" s="222">
        <v>465.11</v>
      </c>
      <c r="AV24" s="222">
        <v>618.66</v>
      </c>
      <c r="AW24" s="222">
        <v>31573.69</v>
      </c>
      <c r="AX24" s="222">
        <v>3389.16</v>
      </c>
      <c r="AY24" s="222"/>
      <c r="AZ24" s="223">
        <v>29626.31</v>
      </c>
      <c r="BA24" s="223">
        <v>355.87</v>
      </c>
      <c r="BB24" s="179"/>
      <c r="BC24" s="233">
        <f t="shared" si="6"/>
        <v>-1679.1091626923153</v>
      </c>
    </row>
    <row r="25" spans="1:55" s="71" customFormat="1" x14ac:dyDescent="0.25">
      <c r="A25" s="29">
        <v>17</v>
      </c>
      <c r="B25" s="201"/>
      <c r="C25" s="164" t="s">
        <v>146</v>
      </c>
      <c r="D25" s="251">
        <v>1989</v>
      </c>
      <c r="E25" s="253">
        <v>1</v>
      </c>
      <c r="F25" s="251">
        <v>2</v>
      </c>
      <c r="G25" s="254">
        <v>5</v>
      </c>
      <c r="H25" s="247">
        <v>108</v>
      </c>
      <c r="I25" s="247"/>
      <c r="J25" s="247"/>
      <c r="K25" s="247"/>
      <c r="L25" s="247"/>
      <c r="M25" s="247"/>
      <c r="N25" s="247"/>
      <c r="O25" s="247"/>
      <c r="P25" s="247"/>
      <c r="Q25" s="247"/>
      <c r="R25" s="248"/>
      <c r="S25" s="248"/>
      <c r="T25" s="225"/>
      <c r="U25" s="225"/>
      <c r="V25" s="225"/>
      <c r="W25" s="225"/>
      <c r="X25" s="225"/>
      <c r="Y25" s="225"/>
      <c r="Z25" s="225"/>
      <c r="AA25" s="225"/>
      <c r="AB25" s="225">
        <v>8657.2800000000007</v>
      </c>
      <c r="AC25" s="225">
        <v>7636.61</v>
      </c>
      <c r="AD25" s="225"/>
      <c r="AE25" s="225"/>
      <c r="AF25" s="220">
        <f t="shared" si="0"/>
        <v>8657.2800000000007</v>
      </c>
      <c r="AG25" s="220">
        <f t="shared" si="1"/>
        <v>7636.61</v>
      </c>
      <c r="AH25" s="752">
        <f t="shared" si="2"/>
        <v>8657.2800000000007</v>
      </c>
      <c r="AI25" s="752">
        <f t="shared" si="3"/>
        <v>7636.61</v>
      </c>
      <c r="AJ25" s="747">
        <f t="shared" si="4"/>
        <v>12286.73633407011</v>
      </c>
      <c r="AK25" s="210"/>
      <c r="AL25" s="222">
        <v>249.81</v>
      </c>
      <c r="AM25" s="222">
        <v>71.069999999999993</v>
      </c>
      <c r="AN25" s="222">
        <v>114.86</v>
      </c>
      <c r="AO25" s="222">
        <v>5062.1000000000004</v>
      </c>
      <c r="AP25" s="222">
        <v>1351.28</v>
      </c>
      <c r="AQ25" s="222">
        <f t="shared" si="5"/>
        <v>42.966334070111557</v>
      </c>
      <c r="AR25" s="222">
        <v>22.52</v>
      </c>
      <c r="AS25" s="222"/>
      <c r="AT25" s="222"/>
      <c r="AU25" s="222"/>
      <c r="AV25" s="226">
        <v>93.33</v>
      </c>
      <c r="AW25" s="226">
        <v>4763.3599999999997</v>
      </c>
      <c r="AX25" s="222">
        <v>511.3</v>
      </c>
      <c r="AY25" s="222"/>
      <c r="AZ25" s="223"/>
      <c r="BA25" s="223">
        <v>4.1399999999999997</v>
      </c>
      <c r="BB25" s="179"/>
      <c r="BC25" s="233">
        <f t="shared" si="6"/>
        <v>-3629.4563340701097</v>
      </c>
    </row>
    <row r="26" spans="1:55" s="71" customFormat="1" x14ac:dyDescent="0.25">
      <c r="A26" s="29">
        <v>18</v>
      </c>
      <c r="B26" s="205">
        <v>42648</v>
      </c>
      <c r="C26" s="164" t="s">
        <v>147</v>
      </c>
      <c r="D26" s="251">
        <v>1989</v>
      </c>
      <c r="E26" s="253">
        <v>1</v>
      </c>
      <c r="F26" s="251">
        <v>2</v>
      </c>
      <c r="G26" s="251">
        <v>6</v>
      </c>
      <c r="H26" s="247">
        <v>54</v>
      </c>
      <c r="I26" s="247"/>
      <c r="J26" s="247"/>
      <c r="K26" s="247"/>
      <c r="L26" s="247"/>
      <c r="M26" s="247"/>
      <c r="N26" s="247"/>
      <c r="O26" s="247"/>
      <c r="P26" s="247"/>
      <c r="Q26" s="247"/>
      <c r="R26" s="248"/>
      <c r="S26" s="248"/>
      <c r="T26" s="225"/>
      <c r="U26" s="225"/>
      <c r="V26" s="225"/>
      <c r="W26" s="225"/>
      <c r="X26" s="225"/>
      <c r="Y26" s="225"/>
      <c r="Z26" s="225"/>
      <c r="AA26" s="225"/>
      <c r="AB26" s="225">
        <v>4328.6400000000003</v>
      </c>
      <c r="AC26" s="225">
        <v>4328.6400000000003</v>
      </c>
      <c r="AD26" s="225"/>
      <c r="AE26" s="225"/>
      <c r="AF26" s="220">
        <f t="shared" si="0"/>
        <v>4328.6400000000003</v>
      </c>
      <c r="AG26" s="220">
        <f t="shared" si="1"/>
        <v>4328.6400000000003</v>
      </c>
      <c r="AH26" s="752">
        <f t="shared" si="2"/>
        <v>4328.6400000000003</v>
      </c>
      <c r="AI26" s="752">
        <f t="shared" si="3"/>
        <v>4328.6400000000003</v>
      </c>
      <c r="AJ26" s="747">
        <f t="shared" si="4"/>
        <v>6143.4531670350561</v>
      </c>
      <c r="AK26" s="210"/>
      <c r="AL26" s="222">
        <v>124.96</v>
      </c>
      <c r="AM26" s="222">
        <v>35.54</v>
      </c>
      <c r="AN26" s="222">
        <v>57.43</v>
      </c>
      <c r="AO26" s="222">
        <v>2531.0500000000002</v>
      </c>
      <c r="AP26" s="222">
        <v>675.63</v>
      </c>
      <c r="AQ26" s="222">
        <f t="shared" si="5"/>
        <v>21.483167035055779</v>
      </c>
      <c r="AR26" s="222">
        <v>11.26</v>
      </c>
      <c r="AS26" s="222"/>
      <c r="AT26" s="222"/>
      <c r="AU26" s="222"/>
      <c r="AV26" s="226">
        <v>46.67</v>
      </c>
      <c r="AW26" s="226">
        <v>2381.6799999999998</v>
      </c>
      <c r="AX26" s="222">
        <v>255.68</v>
      </c>
      <c r="AY26" s="222"/>
      <c r="AZ26" s="223"/>
      <c r="BA26" s="223">
        <v>2.0699999999999998</v>
      </c>
      <c r="BB26" s="179"/>
      <c r="BC26" s="233">
        <f t="shared" si="6"/>
        <v>-1814.8131670350558</v>
      </c>
    </row>
    <row r="27" spans="1:55" s="71" customFormat="1" x14ac:dyDescent="0.25">
      <c r="A27" s="29">
        <v>19</v>
      </c>
      <c r="B27" s="205">
        <v>42648</v>
      </c>
      <c r="C27" s="164" t="s">
        <v>214</v>
      </c>
      <c r="D27" s="251">
        <v>1989</v>
      </c>
      <c r="E27" s="253">
        <v>1</v>
      </c>
      <c r="F27" s="251">
        <v>2</v>
      </c>
      <c r="G27" s="251"/>
      <c r="H27" s="247">
        <v>108</v>
      </c>
      <c r="I27" s="247"/>
      <c r="J27" s="247"/>
      <c r="K27" s="247"/>
      <c r="L27" s="247"/>
      <c r="M27" s="247"/>
      <c r="N27" s="247"/>
      <c r="O27" s="247"/>
      <c r="P27" s="247"/>
      <c r="Q27" s="247"/>
      <c r="R27" s="248"/>
      <c r="S27" s="248"/>
      <c r="T27" s="225"/>
      <c r="U27" s="225"/>
      <c r="V27" s="225"/>
      <c r="W27" s="225"/>
      <c r="X27" s="225"/>
      <c r="Y27" s="225"/>
      <c r="Z27" s="225"/>
      <c r="AA27" s="225"/>
      <c r="AB27" s="225">
        <v>8216.64</v>
      </c>
      <c r="AC27" s="225">
        <v>8216.64</v>
      </c>
      <c r="AD27" s="225"/>
      <c r="AE27" s="225"/>
      <c r="AF27" s="220">
        <f t="shared" si="0"/>
        <v>8216.64</v>
      </c>
      <c r="AG27" s="220">
        <f t="shared" si="1"/>
        <v>8216.64</v>
      </c>
      <c r="AH27" s="752">
        <f t="shared" si="2"/>
        <v>8216.64</v>
      </c>
      <c r="AI27" s="752">
        <f t="shared" si="3"/>
        <v>8216.64</v>
      </c>
      <c r="AJ27" s="747">
        <f t="shared" si="4"/>
        <v>12286.73633407011</v>
      </c>
      <c r="AK27" s="210"/>
      <c r="AL27" s="222">
        <v>249.81</v>
      </c>
      <c r="AM27" s="222">
        <v>71.069999999999993</v>
      </c>
      <c r="AN27" s="222">
        <v>114.86</v>
      </c>
      <c r="AO27" s="222">
        <v>5062.1000000000004</v>
      </c>
      <c r="AP27" s="222">
        <v>1351.28</v>
      </c>
      <c r="AQ27" s="222">
        <f t="shared" si="5"/>
        <v>42.966334070111557</v>
      </c>
      <c r="AR27" s="222">
        <v>22.52</v>
      </c>
      <c r="AS27" s="222"/>
      <c r="AT27" s="222"/>
      <c r="AU27" s="222"/>
      <c r="AV27" s="226">
        <v>93.33</v>
      </c>
      <c r="AW27" s="226">
        <v>4763.3599999999997</v>
      </c>
      <c r="AX27" s="222">
        <v>511.3</v>
      </c>
      <c r="AY27" s="222"/>
      <c r="AZ27" s="223"/>
      <c r="BA27" s="223">
        <v>4.1399999999999997</v>
      </c>
      <c r="BB27" s="179"/>
      <c r="BC27" s="233">
        <f t="shared" si="6"/>
        <v>-4070.096334070111</v>
      </c>
    </row>
    <row r="28" spans="1:55" s="71" customFormat="1" x14ac:dyDescent="0.25">
      <c r="A28" s="13">
        <v>20</v>
      </c>
      <c r="B28" s="199"/>
      <c r="C28" s="164" t="s">
        <v>148</v>
      </c>
      <c r="D28" s="251">
        <v>2010</v>
      </c>
      <c r="E28" s="251">
        <v>2</v>
      </c>
      <c r="F28" s="251">
        <v>10</v>
      </c>
      <c r="G28" s="251">
        <v>30</v>
      </c>
      <c r="H28" s="246">
        <v>637.20000000000005</v>
      </c>
      <c r="I28" s="246"/>
      <c r="J28" s="246"/>
      <c r="K28" s="246"/>
      <c r="L28" s="246">
        <v>152.11000000000001</v>
      </c>
      <c r="M28" s="246">
        <v>152.11000000000001</v>
      </c>
      <c r="N28" s="246">
        <v>775.41</v>
      </c>
      <c r="O28" s="246">
        <v>760.98</v>
      </c>
      <c r="P28" s="246">
        <v>2619.7199999999998</v>
      </c>
      <c r="Q28" s="246">
        <v>2941.32</v>
      </c>
      <c r="R28" s="210">
        <v>116.02</v>
      </c>
      <c r="S28" s="210">
        <v>13.55</v>
      </c>
      <c r="T28" s="227">
        <v>2010</v>
      </c>
      <c r="U28" s="227">
        <v>1636.21</v>
      </c>
      <c r="V28" s="227">
        <v>580.1</v>
      </c>
      <c r="W28" s="227">
        <v>553.11</v>
      </c>
      <c r="X28" s="227"/>
      <c r="Y28" s="227"/>
      <c r="Z28" s="220"/>
      <c r="AA28" s="220"/>
      <c r="AB28" s="220">
        <v>122004.86</v>
      </c>
      <c r="AC28" s="220">
        <v>118265.96</v>
      </c>
      <c r="AD28" s="220">
        <v>4173.8</v>
      </c>
      <c r="AE28" s="220"/>
      <c r="AF28" s="220">
        <f t="shared" si="0"/>
        <v>117831.06</v>
      </c>
      <c r="AG28" s="220">
        <f t="shared" si="1"/>
        <v>114220.06819005079</v>
      </c>
      <c r="AH28" s="752">
        <f t="shared" si="2"/>
        <v>124084.42</v>
      </c>
      <c r="AI28" s="752">
        <f t="shared" si="3"/>
        <v>120277.34819005079</v>
      </c>
      <c r="AJ28" s="747">
        <f t="shared" si="4"/>
        <v>96271.63137101366</v>
      </c>
      <c r="AK28" s="210"/>
      <c r="AL28" s="222">
        <v>1474</v>
      </c>
      <c r="AM28" s="222">
        <v>419.32</v>
      </c>
      <c r="AN28" s="222">
        <v>677.71</v>
      </c>
      <c r="AO28" s="222">
        <v>29866.42</v>
      </c>
      <c r="AP28" s="222">
        <v>12050.62</v>
      </c>
      <c r="AQ28" s="222">
        <f t="shared" si="5"/>
        <v>253.5013710136582</v>
      </c>
      <c r="AR28" s="222">
        <v>132.84</v>
      </c>
      <c r="AS28" s="222">
        <v>949.2</v>
      </c>
      <c r="AT28" s="222">
        <v>348.03</v>
      </c>
      <c r="AU28" s="222"/>
      <c r="AV28" s="222">
        <v>2116.21</v>
      </c>
      <c r="AW28" s="222">
        <v>28103.82</v>
      </c>
      <c r="AX28" s="222">
        <v>3016.71</v>
      </c>
      <c r="AY28" s="222"/>
      <c r="AZ28" s="223">
        <v>16606.560000000001</v>
      </c>
      <c r="BA28" s="223">
        <v>256.69</v>
      </c>
      <c r="BB28" s="179"/>
      <c r="BC28" s="233">
        <f t="shared" si="6"/>
        <v>27812.788628986338</v>
      </c>
    </row>
    <row r="29" spans="1:55" s="71" customFormat="1" x14ac:dyDescent="0.25">
      <c r="A29" s="13">
        <v>21</v>
      </c>
      <c r="B29" s="199"/>
      <c r="C29" s="164" t="s">
        <v>196</v>
      </c>
      <c r="D29" s="251">
        <v>2012</v>
      </c>
      <c r="E29" s="251">
        <v>2</v>
      </c>
      <c r="F29" s="251"/>
      <c r="G29" s="251"/>
      <c r="H29" s="246">
        <v>1179.9000000000001</v>
      </c>
      <c r="I29" s="246"/>
      <c r="J29" s="246"/>
      <c r="K29" s="246">
        <v>29.45</v>
      </c>
      <c r="L29" s="246">
        <v>575.4</v>
      </c>
      <c r="M29" s="246">
        <v>431.01</v>
      </c>
      <c r="N29" s="246">
        <v>140.63</v>
      </c>
      <c r="O29" s="246">
        <v>124.4</v>
      </c>
      <c r="P29" s="246">
        <v>953.46</v>
      </c>
      <c r="Q29" s="246">
        <v>1049.77</v>
      </c>
      <c r="R29" s="210">
        <v>42.23</v>
      </c>
      <c r="S29" s="210">
        <v>0.24</v>
      </c>
      <c r="T29" s="227">
        <v>731.58</v>
      </c>
      <c r="U29" s="227">
        <v>437.11</v>
      </c>
      <c r="V29" s="227">
        <v>211.15</v>
      </c>
      <c r="W29" s="227">
        <v>151.15</v>
      </c>
      <c r="X29" s="227"/>
      <c r="Y29" s="227"/>
      <c r="Z29" s="220"/>
      <c r="AA29" s="220"/>
      <c r="AB29" s="220">
        <v>171085.92</v>
      </c>
      <c r="AC29" s="220">
        <v>134787.4</v>
      </c>
      <c r="AD29" s="220">
        <v>11799</v>
      </c>
      <c r="AE29" s="220"/>
      <c r="AF29" s="220">
        <f t="shared" si="0"/>
        <v>159286.92000000001</v>
      </c>
      <c r="AG29" s="220">
        <f t="shared" si="1"/>
        <v>125491.74006141476</v>
      </c>
      <c r="AH29" s="752">
        <f t="shared" si="2"/>
        <v>161941.37000000002</v>
      </c>
      <c r="AI29" s="752">
        <f t="shared" si="3"/>
        <v>127714.87006141477</v>
      </c>
      <c r="AJ29" s="747">
        <f t="shared" si="4"/>
        <v>168741.55719971599</v>
      </c>
      <c r="AK29" s="210"/>
      <c r="AL29" s="222">
        <v>2729.43</v>
      </c>
      <c r="AM29" s="222">
        <v>776.46</v>
      </c>
      <c r="AN29" s="222">
        <v>1254.9000000000001</v>
      </c>
      <c r="AO29" s="222">
        <v>55303.53</v>
      </c>
      <c r="AP29" s="222">
        <v>22313.99</v>
      </c>
      <c r="AQ29" s="222">
        <f t="shared" si="5"/>
        <v>469.40719971596877</v>
      </c>
      <c r="AR29" s="222">
        <v>245.99</v>
      </c>
      <c r="AS29" s="222">
        <v>2659.21</v>
      </c>
      <c r="AT29" s="222">
        <v>126.63</v>
      </c>
      <c r="AU29" s="222"/>
      <c r="AV29" s="222">
        <v>3907.61</v>
      </c>
      <c r="AW29" s="222">
        <v>52039.73</v>
      </c>
      <c r="AX29" s="222">
        <v>5586.04</v>
      </c>
      <c r="AY29" s="222"/>
      <c r="AZ29" s="223">
        <v>20853.32</v>
      </c>
      <c r="BA29" s="223">
        <v>475.31</v>
      </c>
      <c r="BB29" s="179"/>
      <c r="BC29" s="233">
        <f t="shared" si="6"/>
        <v>-6800.1871997159615</v>
      </c>
    </row>
    <row r="30" spans="1:55" s="71" customFormat="1" x14ac:dyDescent="0.25">
      <c r="A30" s="13">
        <v>22</v>
      </c>
      <c r="B30" s="202"/>
      <c r="C30" s="165" t="s">
        <v>197</v>
      </c>
      <c r="D30" s="256">
        <v>2012</v>
      </c>
      <c r="E30" s="256">
        <v>3</v>
      </c>
      <c r="F30" s="256">
        <v>28</v>
      </c>
      <c r="G30" s="256"/>
      <c r="H30" s="257">
        <v>1588.6</v>
      </c>
      <c r="I30" s="257"/>
      <c r="J30" s="257"/>
      <c r="K30" s="257">
        <v>58.13</v>
      </c>
      <c r="L30" s="257">
        <v>1418.43</v>
      </c>
      <c r="M30" s="257">
        <v>1373.5</v>
      </c>
      <c r="N30" s="257">
        <v>699.24</v>
      </c>
      <c r="O30" s="257">
        <v>684.06</v>
      </c>
      <c r="P30" s="257">
        <v>2947.8</v>
      </c>
      <c r="Q30" s="257">
        <v>3454.05</v>
      </c>
      <c r="R30" s="229">
        <v>267.76</v>
      </c>
      <c r="S30" s="229"/>
      <c r="T30" s="228">
        <v>2310.94</v>
      </c>
      <c r="U30" s="228">
        <v>2111.73</v>
      </c>
      <c r="V30" s="228">
        <v>532.62</v>
      </c>
      <c r="W30" s="228">
        <v>731.38</v>
      </c>
      <c r="X30" s="228"/>
      <c r="Y30" s="228"/>
      <c r="Z30" s="441"/>
      <c r="AA30" s="441"/>
      <c r="AB30" s="441">
        <v>275838.96000000002</v>
      </c>
      <c r="AC30" s="441">
        <v>263197.01</v>
      </c>
      <c r="AD30" s="441">
        <v>15060</v>
      </c>
      <c r="AE30" s="441"/>
      <c r="AF30" s="220">
        <f t="shared" si="0"/>
        <v>260778.96000000002</v>
      </c>
      <c r="AG30" s="220">
        <f t="shared" si="1"/>
        <v>248827.22347455777</v>
      </c>
      <c r="AH30" s="752">
        <f t="shared" si="2"/>
        <v>268955.75</v>
      </c>
      <c r="AI30" s="752">
        <f t="shared" si="3"/>
        <v>257240.07347455778</v>
      </c>
      <c r="AJ30" s="747">
        <f t="shared" si="4"/>
        <v>282839.40294725721</v>
      </c>
      <c r="AK30" s="229"/>
      <c r="AL30" s="222">
        <v>3483.7</v>
      </c>
      <c r="AM30" s="222">
        <v>991.06</v>
      </c>
      <c r="AN30" s="222">
        <v>1601.74</v>
      </c>
      <c r="AO30" s="222">
        <v>70588.31</v>
      </c>
      <c r="AP30" s="222">
        <v>29556.23</v>
      </c>
      <c r="AQ30" s="222">
        <f t="shared" si="5"/>
        <v>632.00294725721494</v>
      </c>
      <c r="AR30" s="222">
        <v>313.97000000000003</v>
      </c>
      <c r="AS30" s="222">
        <v>13389.9</v>
      </c>
      <c r="AT30" s="222"/>
      <c r="AU30" s="222"/>
      <c r="AV30" s="222">
        <v>7422.62</v>
      </c>
      <c r="AW30" s="222">
        <v>66422.45</v>
      </c>
      <c r="AX30" s="222">
        <v>7129.88</v>
      </c>
      <c r="AY30" s="222">
        <v>2520</v>
      </c>
      <c r="AZ30" s="223">
        <v>71145.149999999994</v>
      </c>
      <c r="BA30" s="223">
        <v>915.39</v>
      </c>
      <c r="BB30" s="179">
        <v>6727</v>
      </c>
      <c r="BC30" s="233">
        <f t="shared" si="6"/>
        <v>-13883.652947257215</v>
      </c>
    </row>
    <row r="31" spans="1:55" s="71" customFormat="1" x14ac:dyDescent="0.25">
      <c r="A31" s="13">
        <v>23</v>
      </c>
      <c r="B31" s="202"/>
      <c r="C31" s="165" t="s">
        <v>205</v>
      </c>
      <c r="D31" s="251"/>
      <c r="E31" s="251">
        <v>2</v>
      </c>
      <c r="F31" s="251"/>
      <c r="G31" s="251"/>
      <c r="H31" s="246">
        <v>586.1</v>
      </c>
      <c r="I31" s="246"/>
      <c r="J31" s="246"/>
      <c r="K31" s="246"/>
      <c r="L31" s="246">
        <v>1156.79</v>
      </c>
      <c r="M31" s="246">
        <v>1220.4000000000001</v>
      </c>
      <c r="N31" s="246">
        <v>104.93</v>
      </c>
      <c r="O31" s="246">
        <v>100.21</v>
      </c>
      <c r="P31" s="246"/>
      <c r="Q31" s="246"/>
      <c r="R31" s="210"/>
      <c r="S31" s="210"/>
      <c r="T31" s="227"/>
      <c r="U31" s="227"/>
      <c r="V31" s="227"/>
      <c r="W31" s="227"/>
      <c r="X31" s="227"/>
      <c r="Y31" s="227"/>
      <c r="Z31" s="220"/>
      <c r="AA31" s="220"/>
      <c r="AB31" s="220">
        <v>117341.16</v>
      </c>
      <c r="AC31" s="220">
        <v>120223.45</v>
      </c>
      <c r="AD31" s="220">
        <v>5661</v>
      </c>
      <c r="AE31" s="220"/>
      <c r="AF31" s="220">
        <f t="shared" si="0"/>
        <v>111680.16</v>
      </c>
      <c r="AG31" s="220">
        <f t="shared" si="1"/>
        <v>114423.39697129294</v>
      </c>
      <c r="AH31" s="752">
        <f t="shared" si="2"/>
        <v>112941.88</v>
      </c>
      <c r="AI31" s="752">
        <f t="shared" si="3"/>
        <v>115744.00697129294</v>
      </c>
      <c r="AJ31" s="747">
        <f t="shared" si="4"/>
        <v>81984.991929615673</v>
      </c>
      <c r="AK31" s="210"/>
      <c r="AL31" s="222">
        <v>1309.55</v>
      </c>
      <c r="AM31" s="222">
        <v>372.53</v>
      </c>
      <c r="AN31" s="222">
        <v>602.08000000000004</v>
      </c>
      <c r="AO31" s="222">
        <v>26533.88</v>
      </c>
      <c r="AP31" s="222">
        <v>10705.98</v>
      </c>
      <c r="AQ31" s="222">
        <f t="shared" si="5"/>
        <v>233.17192961567022</v>
      </c>
      <c r="AR31" s="222">
        <v>118.02</v>
      </c>
      <c r="AS31" s="222">
        <v>2077.9899999999998</v>
      </c>
      <c r="AT31" s="222"/>
      <c r="AU31" s="222"/>
      <c r="AV31" s="222">
        <v>3114.99</v>
      </c>
      <c r="AW31" s="222">
        <v>24967.97</v>
      </c>
      <c r="AX31" s="222">
        <v>2680.1</v>
      </c>
      <c r="AY31" s="222">
        <v>2520</v>
      </c>
      <c r="AZ31" s="223"/>
      <c r="BA31" s="223">
        <v>21.73</v>
      </c>
      <c r="BB31" s="179">
        <v>6727</v>
      </c>
      <c r="BC31" s="233">
        <f t="shared" si="6"/>
        <v>30956.888070384332</v>
      </c>
    </row>
    <row r="32" spans="1:55" s="71" customFormat="1" ht="14.25" customHeight="1" x14ac:dyDescent="0.25">
      <c r="A32" s="13">
        <v>24</v>
      </c>
      <c r="B32" s="205">
        <v>42648</v>
      </c>
      <c r="C32" s="165" t="s">
        <v>210</v>
      </c>
      <c r="D32" s="256"/>
      <c r="E32" s="256">
        <v>3</v>
      </c>
      <c r="F32" s="256"/>
      <c r="G32" s="256"/>
      <c r="H32" s="257">
        <v>1372.13</v>
      </c>
      <c r="I32" s="257"/>
      <c r="J32" s="257">
        <v>2164.7800000000002</v>
      </c>
      <c r="K32" s="257">
        <v>1851.82</v>
      </c>
      <c r="L32" s="257"/>
      <c r="M32" s="257"/>
      <c r="N32" s="257">
        <v>535.78</v>
      </c>
      <c r="O32" s="257">
        <v>359.02</v>
      </c>
      <c r="P32" s="257">
        <v>3587.58</v>
      </c>
      <c r="Q32" s="257">
        <v>3503.29</v>
      </c>
      <c r="R32" s="229">
        <v>158.85</v>
      </c>
      <c r="S32" s="229">
        <v>3.97</v>
      </c>
      <c r="T32" s="228">
        <v>2752.47</v>
      </c>
      <c r="U32" s="228">
        <v>1852.98</v>
      </c>
      <c r="V32" s="228">
        <v>794.33</v>
      </c>
      <c r="W32" s="228">
        <v>807.99</v>
      </c>
      <c r="X32" s="228"/>
      <c r="Y32" s="228"/>
      <c r="Z32" s="441"/>
      <c r="AA32" s="441"/>
      <c r="AB32" s="441">
        <v>343772.36</v>
      </c>
      <c r="AC32" s="441">
        <v>266709.24</v>
      </c>
      <c r="AD32" s="441">
        <v>16824.759999999998</v>
      </c>
      <c r="AE32" s="441"/>
      <c r="AF32" s="220">
        <f t="shared" si="0"/>
        <v>326947.59999999998</v>
      </c>
      <c r="AG32" s="220">
        <f t="shared" si="1"/>
        <v>253656.0703013587</v>
      </c>
      <c r="AH32" s="752">
        <f t="shared" si="2"/>
        <v>336941.38999999996</v>
      </c>
      <c r="AI32" s="752">
        <f t="shared" si="3"/>
        <v>262035.14030135871</v>
      </c>
      <c r="AJ32" s="747">
        <f t="shared" si="4"/>
        <v>223722.79329599653</v>
      </c>
      <c r="AK32" s="229"/>
      <c r="AL32" s="222">
        <v>3129.17</v>
      </c>
      <c r="AM32" s="222">
        <v>890.2</v>
      </c>
      <c r="AN32" s="222">
        <v>1438.72</v>
      </c>
      <c r="AO32" s="222">
        <v>63404.31</v>
      </c>
      <c r="AP32" s="222">
        <v>26387.77</v>
      </c>
      <c r="AQ32" s="222">
        <f t="shared" si="5"/>
        <v>545.8832959965016</v>
      </c>
      <c r="AR32" s="222">
        <v>282.02</v>
      </c>
      <c r="AS32" s="222"/>
      <c r="AT32" s="222">
        <v>430.17</v>
      </c>
      <c r="AU32" s="222"/>
      <c r="AV32" s="222">
        <v>1887.32</v>
      </c>
      <c r="AW32" s="222">
        <v>59662.36</v>
      </c>
      <c r="AX32" s="222">
        <v>6404.26</v>
      </c>
      <c r="AY32" s="222"/>
      <c r="AZ32" s="223">
        <v>58164.88</v>
      </c>
      <c r="BA32" s="223">
        <v>1095.73</v>
      </c>
      <c r="BB32" s="284"/>
      <c r="BC32" s="233">
        <f t="shared" si="6"/>
        <v>113218.59670400343</v>
      </c>
    </row>
    <row r="33" spans="1:60" s="71" customFormat="1" x14ac:dyDescent="0.25">
      <c r="A33" s="13"/>
      <c r="B33" s="13"/>
      <c r="C33" s="156" t="s">
        <v>183</v>
      </c>
      <c r="D33" s="258"/>
      <c r="E33" s="258"/>
      <c r="F33" s="406">
        <f>SUM(F9:F32)</f>
        <v>496</v>
      </c>
      <c r="G33" s="406">
        <f>SUM(G9:G28)</f>
        <v>1278</v>
      </c>
      <c r="H33" s="600">
        <f>SUM(H9:H32)</f>
        <v>27715.26</v>
      </c>
      <c r="I33" s="600">
        <f>SUM(I9:I32)</f>
        <v>2501.9800000000005</v>
      </c>
      <c r="J33" s="600">
        <f>SUM(J9:J32)</f>
        <v>13149.85</v>
      </c>
      <c r="K33" s="600">
        <f>SUM(K9:K32)</f>
        <v>12912.45</v>
      </c>
      <c r="L33" s="600">
        <f t="shared" ref="L33:Q33" si="7">SUM(L9:L32)</f>
        <v>25930.100000000002</v>
      </c>
      <c r="M33" s="600">
        <f t="shared" si="7"/>
        <v>23484.38</v>
      </c>
      <c r="N33" s="600">
        <f t="shared" si="7"/>
        <v>23950.790000000005</v>
      </c>
      <c r="O33" s="600">
        <f t="shared" si="7"/>
        <v>22161.910000000003</v>
      </c>
      <c r="P33" s="600">
        <f t="shared" si="7"/>
        <v>59971.270000000004</v>
      </c>
      <c r="Q33" s="600">
        <f t="shared" si="7"/>
        <v>66359.040000000008</v>
      </c>
      <c r="R33" s="601">
        <f t="shared" ref="R33:Y33" si="8">SUM(R9:R32)</f>
        <v>2793.4</v>
      </c>
      <c r="S33" s="601">
        <f t="shared" si="8"/>
        <v>33.43</v>
      </c>
      <c r="T33" s="600">
        <f t="shared" si="8"/>
        <v>46069.97</v>
      </c>
      <c r="U33" s="600">
        <f t="shared" si="8"/>
        <v>34128.159999999996</v>
      </c>
      <c r="V33" s="600">
        <f t="shared" si="8"/>
        <v>13160.890000000001</v>
      </c>
      <c r="W33" s="600">
        <f t="shared" si="8"/>
        <v>11971.16</v>
      </c>
      <c r="X33" s="600">
        <f t="shared" si="8"/>
        <v>104037.56</v>
      </c>
      <c r="Y33" s="600">
        <f t="shared" si="8"/>
        <v>115829.38</v>
      </c>
      <c r="Z33" s="600"/>
      <c r="AA33" s="600"/>
      <c r="AB33" s="600">
        <f t="shared" ref="AB33:AK33" si="9">SUM(AB9:AB32)</f>
        <v>5045046.18</v>
      </c>
      <c r="AC33" s="600">
        <f t="shared" si="9"/>
        <v>4543633.3999999994</v>
      </c>
      <c r="AD33" s="600">
        <f t="shared" si="9"/>
        <v>412011.52000000008</v>
      </c>
      <c r="AE33" s="600">
        <f t="shared" si="9"/>
        <v>0</v>
      </c>
      <c r="AF33" s="600">
        <f t="shared" si="9"/>
        <v>4633034.66</v>
      </c>
      <c r="AG33" s="600">
        <f t="shared" si="9"/>
        <v>4172314.5679466855</v>
      </c>
      <c r="AH33" s="600">
        <f t="shared" si="9"/>
        <v>4922098.49</v>
      </c>
      <c r="AI33" s="600">
        <f t="shared" si="9"/>
        <v>4459194.4779466838</v>
      </c>
      <c r="AJ33" s="748">
        <f t="shared" si="9"/>
        <v>4419282.87</v>
      </c>
      <c r="AK33" s="600">
        <f t="shared" si="9"/>
        <v>125424</v>
      </c>
      <c r="AL33" s="600">
        <f t="shared" ref="AL33:AZ33" si="10">SUM(AL9:AL32)</f>
        <v>63800.000000000007</v>
      </c>
      <c r="AM33" s="600">
        <f t="shared" si="10"/>
        <v>18150.030000000002</v>
      </c>
      <c r="AN33" s="600">
        <f t="shared" si="10"/>
        <v>29333.760000000009</v>
      </c>
      <c r="AO33" s="600">
        <f t="shared" si="10"/>
        <v>1292735.8700000001</v>
      </c>
      <c r="AP33" s="600">
        <f t="shared" si="10"/>
        <v>497194.06999999995</v>
      </c>
      <c r="AQ33" s="600">
        <f t="shared" si="10"/>
        <v>11026.140000000001</v>
      </c>
      <c r="AR33" s="600">
        <f t="shared" si="10"/>
        <v>5750.0000000000018</v>
      </c>
      <c r="AS33" s="600">
        <f t="shared" si="10"/>
        <v>62912.579999999994</v>
      </c>
      <c r="AT33" s="600">
        <f t="shared" si="10"/>
        <v>7530.29</v>
      </c>
      <c r="AU33" s="600">
        <f t="shared" si="10"/>
        <v>12931.64</v>
      </c>
      <c r="AV33" s="600">
        <f t="shared" si="10"/>
        <v>94184.750000000015</v>
      </c>
      <c r="AW33" s="600">
        <f t="shared" si="10"/>
        <v>1216443.78</v>
      </c>
      <c r="AX33" s="600">
        <f t="shared" si="10"/>
        <v>130575.09000000001</v>
      </c>
      <c r="AY33" s="600">
        <f t="shared" si="10"/>
        <v>5040</v>
      </c>
      <c r="AZ33" s="600">
        <f t="shared" si="10"/>
        <v>816950.16</v>
      </c>
      <c r="BA33" s="600">
        <f>SUM(BA9:BA32)</f>
        <v>15846.71</v>
      </c>
      <c r="BB33" s="600"/>
      <c r="BC33" s="233">
        <f>SUM(BC9:BC32)</f>
        <v>502815.62</v>
      </c>
    </row>
    <row r="34" spans="1:60" s="71" customFormat="1" x14ac:dyDescent="0.25">
      <c r="A34" s="13"/>
      <c r="B34" s="13"/>
      <c r="C34" s="156"/>
      <c r="D34" s="258"/>
      <c r="E34" s="491">
        <f>H33-H25-H26-H27</f>
        <v>27445.26</v>
      </c>
      <c r="F34" s="259"/>
      <c r="G34" s="259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 t="s">
        <v>128</v>
      </c>
      <c r="AG34" s="90"/>
      <c r="AH34" s="90"/>
      <c r="AI34" s="90"/>
      <c r="AJ34" s="157"/>
      <c r="AK34" s="158" t="s">
        <v>128</v>
      </c>
      <c r="AL34" s="159" t="s">
        <v>128</v>
      </c>
      <c r="AM34" s="159" t="s">
        <v>128</v>
      </c>
      <c r="AN34" s="159" t="s">
        <v>128</v>
      </c>
      <c r="AO34" s="159" t="s">
        <v>128</v>
      </c>
      <c r="AP34" s="160" t="s">
        <v>128</v>
      </c>
      <c r="AQ34" s="160" t="s">
        <v>128</v>
      </c>
      <c r="AR34" s="160" t="s">
        <v>128</v>
      </c>
      <c r="AS34" s="158" t="s">
        <v>128</v>
      </c>
      <c r="AT34" s="158" t="s">
        <v>128</v>
      </c>
      <c r="AU34" s="158"/>
      <c r="AV34" s="232"/>
      <c r="AW34" s="160" t="s">
        <v>128</v>
      </c>
      <c r="AX34" s="160" t="s">
        <v>128</v>
      </c>
      <c r="AY34" s="160"/>
      <c r="AZ34" s="160"/>
      <c r="BA34" s="160"/>
      <c r="BB34" s="23"/>
    </row>
    <row r="35" spans="1:60" s="71" customFormat="1" x14ac:dyDescent="0.25">
      <c r="A35" s="13"/>
      <c r="B35" s="13"/>
      <c r="C35" s="156"/>
      <c r="D35" s="258"/>
      <c r="E35" s="490">
        <f>H9+H10+H11+H12+H13+H14+H15+H16+H17+H18+H19+H20+H21+H22+H23+H24+H28+H30+H32</f>
        <v>25679.26</v>
      </c>
      <c r="F35" s="259"/>
      <c r="G35" s="259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157"/>
      <c r="AK35" s="158"/>
      <c r="AL35" s="159"/>
      <c r="AM35" s="159"/>
      <c r="AN35" s="159"/>
      <c r="AO35" s="159"/>
      <c r="AP35" s="160"/>
      <c r="AQ35" s="160"/>
      <c r="AR35" s="160"/>
      <c r="AS35" s="158"/>
      <c r="AT35" s="158"/>
      <c r="AU35" s="158"/>
      <c r="AV35" s="160"/>
      <c r="AW35" s="160"/>
      <c r="AX35" s="160"/>
      <c r="AY35" s="160"/>
      <c r="AZ35" s="160"/>
      <c r="BA35" s="160"/>
      <c r="BB35" s="23"/>
    </row>
    <row r="36" spans="1:60" s="71" customFormat="1" x14ac:dyDescent="0.25">
      <c r="A36" s="13"/>
      <c r="B36" s="13"/>
      <c r="C36" s="156"/>
      <c r="D36" s="258"/>
      <c r="E36" s="491">
        <f>H30+H31+H32</f>
        <v>3546.83</v>
      </c>
      <c r="F36" s="259"/>
      <c r="G36" s="259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157"/>
      <c r="AK36" s="158"/>
      <c r="AL36" s="159"/>
      <c r="AM36" s="159"/>
      <c r="AN36" s="159"/>
      <c r="AO36" s="159"/>
      <c r="AP36" s="160"/>
      <c r="AQ36" s="160"/>
      <c r="AR36" s="160"/>
      <c r="AS36" s="158"/>
      <c r="AT36" s="158"/>
      <c r="AU36" s="158"/>
      <c r="AV36" s="160"/>
      <c r="AW36" s="160"/>
      <c r="AX36" s="160"/>
      <c r="AY36" s="160"/>
      <c r="AZ36" s="160"/>
      <c r="BA36" s="160"/>
      <c r="BB36" s="23"/>
    </row>
    <row r="37" spans="1:60" s="71" customFormat="1" x14ac:dyDescent="0.25">
      <c r="A37" s="13"/>
      <c r="B37" s="13"/>
      <c r="C37" s="156"/>
      <c r="D37" s="258"/>
      <c r="E37" s="258"/>
      <c r="F37" s="259"/>
      <c r="G37" s="259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157"/>
      <c r="AK37" s="158"/>
      <c r="AL37" s="159"/>
      <c r="AM37" s="159"/>
      <c r="AN37" s="159"/>
      <c r="AO37" s="159"/>
      <c r="AP37" s="160"/>
      <c r="AQ37" s="160"/>
      <c r="AR37" s="160"/>
      <c r="AS37" s="158"/>
      <c r="AT37" s="158"/>
      <c r="AU37" s="158"/>
      <c r="AV37" s="160"/>
      <c r="AW37" s="160"/>
      <c r="AX37" s="160"/>
      <c r="AY37" s="160"/>
      <c r="AZ37" s="160"/>
      <c r="BA37" s="160"/>
      <c r="BB37" s="23"/>
    </row>
    <row r="38" spans="1:60" s="71" customFormat="1" x14ac:dyDescent="0.25">
      <c r="A38" s="13"/>
      <c r="B38" s="13"/>
      <c r="C38" s="156"/>
      <c r="D38" s="258"/>
      <c r="E38" s="258"/>
      <c r="F38" s="259"/>
      <c r="G38" s="259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157"/>
      <c r="AK38" s="158"/>
      <c r="AL38" s="159"/>
      <c r="AM38" s="159"/>
      <c r="AN38" s="159"/>
      <c r="AO38" s="159"/>
      <c r="AP38" s="160"/>
      <c r="AQ38" s="160"/>
      <c r="AR38" s="160"/>
      <c r="AS38" s="158"/>
      <c r="AT38" s="158"/>
      <c r="AU38" s="158"/>
      <c r="AV38" s="160"/>
      <c r="AW38" s="160"/>
      <c r="AX38" s="160"/>
      <c r="AY38" s="160"/>
      <c r="AZ38" s="160"/>
      <c r="BA38" s="160"/>
      <c r="BB38" s="23"/>
    </row>
    <row r="39" spans="1:60" s="71" customFormat="1" x14ac:dyDescent="0.25">
      <c r="A39" s="13"/>
      <c r="B39" s="13"/>
      <c r="C39" s="156" t="s">
        <v>297</v>
      </c>
      <c r="D39" s="258"/>
      <c r="E39" s="258"/>
      <c r="F39" s="259"/>
      <c r="G39" s="259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157"/>
      <c r="AK39" s="158"/>
      <c r="AL39" s="159"/>
      <c r="AM39" s="159"/>
      <c r="AN39" s="159"/>
      <c r="AO39" s="159"/>
      <c r="AP39" s="160"/>
      <c r="AQ39" s="160"/>
      <c r="AR39" s="160"/>
      <c r="AS39" s="158"/>
      <c r="AT39" s="158"/>
      <c r="AU39" s="158"/>
      <c r="AV39" s="160"/>
      <c r="AW39" s="160"/>
      <c r="AX39" s="160"/>
      <c r="AY39" s="160"/>
      <c r="AZ39" s="160"/>
      <c r="BA39" s="160"/>
      <c r="BB39" s="23"/>
    </row>
    <row r="40" spans="1:60" s="71" customFormat="1" x14ac:dyDescent="0.25">
      <c r="A40" s="13"/>
      <c r="B40" s="13"/>
      <c r="C40" s="156"/>
      <c r="D40" s="258"/>
      <c r="E40" s="258"/>
      <c r="F40" s="259"/>
      <c r="G40" s="259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157"/>
      <c r="AK40" s="158"/>
      <c r="AL40" s="159"/>
      <c r="AM40" s="159"/>
      <c r="AN40" s="159"/>
      <c r="AO40" s="159"/>
      <c r="AP40" s="160"/>
      <c r="AQ40" s="160"/>
      <c r="AR40" s="160"/>
      <c r="AS40" s="158"/>
      <c r="AT40" s="158"/>
      <c r="AU40" s="158"/>
      <c r="AV40" s="160"/>
      <c r="AW40" s="160"/>
      <c r="AX40" s="160"/>
      <c r="AY40" s="160"/>
      <c r="AZ40" s="160"/>
      <c r="BA40" s="160"/>
      <c r="BB40" s="23"/>
    </row>
    <row r="41" spans="1:60" s="71" customFormat="1" x14ac:dyDescent="0.25">
      <c r="A41" s="13"/>
      <c r="B41" s="13"/>
      <c r="C41" s="156"/>
      <c r="D41" s="258"/>
      <c r="E41" s="258"/>
      <c r="F41" s="259"/>
      <c r="G41" s="259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157"/>
      <c r="AK41" s="158"/>
      <c r="AL41" s="159"/>
      <c r="AM41" s="159"/>
      <c r="AN41" s="159"/>
      <c r="AO41" s="159"/>
      <c r="AP41" s="160"/>
      <c r="AQ41" s="160"/>
      <c r="AR41" s="160"/>
      <c r="AS41" s="158"/>
      <c r="AT41" s="158"/>
      <c r="AU41" s="158"/>
      <c r="AV41" s="160"/>
      <c r="AW41" s="160"/>
      <c r="AX41" s="160"/>
      <c r="AY41" s="160"/>
      <c r="AZ41" s="160"/>
      <c r="BA41" s="160"/>
      <c r="BB41" s="23"/>
      <c r="BF41" s="111"/>
      <c r="BG41" s="111"/>
      <c r="BH41" s="111"/>
    </row>
    <row r="42" spans="1:60" s="71" customFormat="1" x14ac:dyDescent="0.25">
      <c r="A42" s="13"/>
      <c r="B42" s="13"/>
      <c r="C42" s="156"/>
      <c r="D42" s="258"/>
      <c r="E42" s="258"/>
      <c r="F42" s="259"/>
      <c r="G42" s="259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157"/>
      <c r="AK42" s="158"/>
      <c r="AL42" s="159"/>
      <c r="AM42" s="159"/>
      <c r="AN42" s="159"/>
      <c r="AO42" s="159"/>
      <c r="AP42" s="160"/>
      <c r="AQ42" s="160"/>
      <c r="AR42" s="160"/>
      <c r="AS42" s="158"/>
      <c r="AT42" s="158"/>
      <c r="AU42" s="158"/>
      <c r="AV42" s="160"/>
      <c r="AW42" s="160"/>
      <c r="AX42" s="160"/>
      <c r="AY42" s="160"/>
      <c r="AZ42" s="160"/>
      <c r="BA42" s="160"/>
      <c r="BB42" s="23"/>
      <c r="BF42" s="111"/>
      <c r="BG42" s="111"/>
      <c r="BH42" s="111"/>
    </row>
    <row r="43" spans="1:60" s="71" customFormat="1" x14ac:dyDescent="0.25">
      <c r="A43" s="13"/>
      <c r="B43" s="13"/>
      <c r="C43" s="156"/>
      <c r="D43" s="258"/>
      <c r="E43" s="258"/>
      <c r="F43" s="259"/>
      <c r="G43" s="259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157"/>
      <c r="AK43" s="158"/>
      <c r="AL43" s="159"/>
      <c r="AM43" s="159"/>
      <c r="AN43" s="159"/>
      <c r="AO43" s="159"/>
      <c r="AP43" s="160"/>
      <c r="AQ43" s="160"/>
      <c r="AR43" s="160"/>
      <c r="AS43" s="158"/>
      <c r="AT43" s="158"/>
      <c r="AU43" s="158"/>
      <c r="AV43" s="160"/>
      <c r="AW43" s="160"/>
      <c r="AX43" s="160"/>
      <c r="AY43" s="160"/>
      <c r="AZ43" s="160"/>
      <c r="BA43" s="160"/>
      <c r="BB43" s="23"/>
      <c r="BF43" s="111"/>
      <c r="BG43" s="111"/>
      <c r="BH43" s="111"/>
    </row>
    <row r="44" spans="1:60" s="71" customFormat="1" ht="49.5" customHeight="1" x14ac:dyDescent="0.25">
      <c r="A44" s="915" t="s">
        <v>0</v>
      </c>
      <c r="B44" s="860"/>
      <c r="C44" s="915" t="s">
        <v>130</v>
      </c>
      <c r="D44" s="966" t="s">
        <v>43</v>
      </c>
      <c r="E44" s="966" t="s">
        <v>44</v>
      </c>
      <c r="F44" s="966" t="s">
        <v>45</v>
      </c>
      <c r="G44" s="966" t="s">
        <v>46</v>
      </c>
      <c r="H44" s="966" t="s">
        <v>1</v>
      </c>
      <c r="I44" s="967" t="s">
        <v>178</v>
      </c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504"/>
      <c r="U44" s="505"/>
      <c r="V44" s="602"/>
      <c r="W44" s="602"/>
      <c r="X44" s="494"/>
      <c r="Y44" s="594"/>
      <c r="Z44" s="594"/>
      <c r="AA44" s="594"/>
      <c r="AB44" s="883" t="s">
        <v>269</v>
      </c>
      <c r="AC44" s="884"/>
      <c r="AD44" s="885" t="s">
        <v>299</v>
      </c>
      <c r="AE44" s="885"/>
      <c r="AF44" s="883" t="s">
        <v>300</v>
      </c>
      <c r="AG44" s="884"/>
      <c r="AH44" s="971" t="s">
        <v>301</v>
      </c>
      <c r="AI44" s="971"/>
      <c r="AJ44" s="939" t="s">
        <v>204</v>
      </c>
      <c r="AK44" s="877" t="s">
        <v>188</v>
      </c>
      <c r="AL44" s="877" t="s">
        <v>201</v>
      </c>
      <c r="AM44" s="877" t="s">
        <v>200</v>
      </c>
      <c r="AN44" s="877" t="s">
        <v>319</v>
      </c>
      <c r="AO44" s="862" t="s">
        <v>311</v>
      </c>
      <c r="AP44" s="862" t="s">
        <v>312</v>
      </c>
      <c r="AQ44" s="862" t="s">
        <v>313</v>
      </c>
      <c r="AR44" s="862" t="s">
        <v>314</v>
      </c>
      <c r="AS44" s="862" t="s">
        <v>321</v>
      </c>
      <c r="AT44" s="862" t="s">
        <v>315</v>
      </c>
      <c r="AU44" s="862" t="s">
        <v>316</v>
      </c>
      <c r="AV44" s="862" t="s">
        <v>317</v>
      </c>
      <c r="AW44" s="862" t="s">
        <v>323</v>
      </c>
      <c r="AX44" s="862" t="s">
        <v>318</v>
      </c>
      <c r="AY44" s="862" t="s">
        <v>320</v>
      </c>
      <c r="AZ44" s="877" t="s">
        <v>221</v>
      </c>
      <c r="BA44" s="877" t="s">
        <v>322</v>
      </c>
      <c r="BB44" s="732"/>
      <c r="BC44" s="964" t="s">
        <v>324</v>
      </c>
      <c r="BD44" s="964" t="s">
        <v>325</v>
      </c>
      <c r="BE44" s="964" t="s">
        <v>367</v>
      </c>
      <c r="BF44" s="111"/>
      <c r="BG44" s="111"/>
      <c r="BH44" s="111"/>
    </row>
    <row r="45" spans="1:60" s="71" customFormat="1" ht="30" customHeight="1" x14ac:dyDescent="0.25">
      <c r="A45" s="915"/>
      <c r="B45" s="861"/>
      <c r="C45" s="915"/>
      <c r="D45" s="966"/>
      <c r="E45" s="966"/>
      <c r="F45" s="966"/>
      <c r="G45" s="966"/>
      <c r="H45" s="966"/>
      <c r="I45" s="968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41"/>
      <c r="U45" s="493"/>
      <c r="V45" s="598"/>
      <c r="W45" s="598"/>
      <c r="X45" s="492"/>
      <c r="Y45" s="592"/>
      <c r="Z45" s="592"/>
      <c r="AA45" s="592"/>
      <c r="AB45" s="603" t="s">
        <v>4</v>
      </c>
      <c r="AC45" s="604" t="s">
        <v>5</v>
      </c>
      <c r="AD45" s="603" t="s">
        <v>4</v>
      </c>
      <c r="AE45" s="604" t="s">
        <v>302</v>
      </c>
      <c r="AF45" s="603" t="s">
        <v>4</v>
      </c>
      <c r="AG45" s="604" t="s">
        <v>5</v>
      </c>
      <c r="AH45" s="750" t="s">
        <v>298</v>
      </c>
      <c r="AI45" s="750" t="s">
        <v>180</v>
      </c>
      <c r="AJ45" s="940"/>
      <c r="AK45" s="878"/>
      <c r="AL45" s="878"/>
      <c r="AM45" s="878"/>
      <c r="AN45" s="878"/>
      <c r="AO45" s="863"/>
      <c r="AP45" s="863"/>
      <c r="AQ45" s="863"/>
      <c r="AR45" s="863"/>
      <c r="AS45" s="863"/>
      <c r="AT45" s="863"/>
      <c r="AU45" s="863"/>
      <c r="AV45" s="863"/>
      <c r="AW45" s="863"/>
      <c r="AX45" s="863"/>
      <c r="AY45" s="863"/>
      <c r="AZ45" s="878"/>
      <c r="BA45" s="878"/>
      <c r="BB45" s="733"/>
      <c r="BC45" s="965"/>
      <c r="BD45" s="965"/>
      <c r="BE45" s="965"/>
      <c r="BF45" s="111"/>
      <c r="BG45" s="111"/>
      <c r="BH45" s="111"/>
    </row>
    <row r="46" spans="1:60" s="71" customFormat="1" ht="25.5" x14ac:dyDescent="0.25">
      <c r="A46" s="61">
        <v>1</v>
      </c>
      <c r="B46" s="213">
        <v>42401</v>
      </c>
      <c r="C46" s="161" t="s">
        <v>131</v>
      </c>
      <c r="D46" s="241">
        <v>1975</v>
      </c>
      <c r="E46" s="241">
        <v>2</v>
      </c>
      <c r="F46" s="241">
        <v>18</v>
      </c>
      <c r="G46" s="242">
        <v>60</v>
      </c>
      <c r="H46" s="243">
        <v>783.27</v>
      </c>
      <c r="I46" s="244">
        <v>85.12</v>
      </c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20"/>
      <c r="U46" s="220"/>
      <c r="V46" s="220"/>
      <c r="W46" s="220"/>
      <c r="X46" s="220"/>
      <c r="Y46" s="220"/>
      <c r="Z46" s="220"/>
      <c r="AA46" s="220"/>
      <c r="AB46" s="220">
        <v>15767.92</v>
      </c>
      <c r="AC46" s="220">
        <v>18041.39</v>
      </c>
      <c r="AD46" s="220">
        <f>AB46/7*12</f>
        <v>27030.720000000001</v>
      </c>
      <c r="AE46" s="220"/>
      <c r="AF46" s="220">
        <f>AD46-AB46</f>
        <v>11262.800000000001</v>
      </c>
      <c r="AG46" s="220">
        <f>AC9-AG9</f>
        <v>10714.353658903288</v>
      </c>
      <c r="AH46" s="751">
        <f>AD46</f>
        <v>27030.720000000001</v>
      </c>
      <c r="AI46" s="751">
        <f>AC46+AG46</f>
        <v>28755.743658903288</v>
      </c>
      <c r="AJ46" s="747">
        <f>AK46+AL46+AM46+AN46+AO46+AP46++AQ46+AR46+AS46+AT46+AU46+AV46+AW46+AX46+AY46+AZ46+BA46+BB46+BC46+BD46</f>
        <v>78331.23</v>
      </c>
      <c r="AK46" s="221"/>
      <c r="AL46" s="222">
        <v>64184</v>
      </c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>
        <v>9525</v>
      </c>
      <c r="AX46" s="222"/>
      <c r="AY46" s="222"/>
      <c r="AZ46" s="223"/>
      <c r="BA46" s="179">
        <v>4622.2299999999996</v>
      </c>
      <c r="BB46" s="179"/>
      <c r="BC46" s="179"/>
      <c r="BD46" s="179"/>
      <c r="BE46" s="235">
        <f>AH46-AJ46</f>
        <v>-51300.509999999995</v>
      </c>
      <c r="BF46" s="111"/>
      <c r="BG46" s="111"/>
      <c r="BH46" s="111"/>
    </row>
    <row r="47" spans="1:60" s="71" customFormat="1" ht="25.5" x14ac:dyDescent="0.25">
      <c r="A47" s="13">
        <v>2</v>
      </c>
      <c r="B47" s="199"/>
      <c r="C47" s="161" t="s">
        <v>132</v>
      </c>
      <c r="D47" s="245">
        <v>1975</v>
      </c>
      <c r="E47" s="245">
        <v>2</v>
      </c>
      <c r="F47" s="245">
        <v>18</v>
      </c>
      <c r="G47" s="242">
        <v>52</v>
      </c>
      <c r="H47" s="246">
        <v>784.97</v>
      </c>
      <c r="I47" s="247">
        <v>85.12</v>
      </c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20"/>
      <c r="U47" s="220"/>
      <c r="V47" s="220"/>
      <c r="W47" s="220"/>
      <c r="X47" s="220"/>
      <c r="Y47" s="220"/>
      <c r="Z47" s="220"/>
      <c r="AA47" s="220"/>
      <c r="AB47" s="220">
        <v>15770.09</v>
      </c>
      <c r="AC47" s="220">
        <v>18023.13</v>
      </c>
      <c r="AD47" s="220">
        <f t="shared" ref="AD47:AD69" si="11">AB47/7*12</f>
        <v>27034.44</v>
      </c>
      <c r="AE47" s="220"/>
      <c r="AF47" s="220">
        <f t="shared" ref="AF47:AF69" si="12">AD47-AB47</f>
        <v>11264.349999999999</v>
      </c>
      <c r="AG47" s="220">
        <f t="shared" ref="AG47:AG69" si="13">AC10-AG10</f>
        <v>10958.190672232871</v>
      </c>
      <c r="AH47" s="751">
        <f t="shared" ref="AH47:AH69" si="14">AD47</f>
        <v>27034.44</v>
      </c>
      <c r="AI47" s="751">
        <f t="shared" ref="AI47:AI69" si="15">AC47+AG47</f>
        <v>28981.320672232872</v>
      </c>
      <c r="AJ47" s="747">
        <f t="shared" ref="AJ47:AJ70" si="16">AK47+AL47+AM47+AN47+AO47+AP47++AQ47+AR47+AS47+AT47+AU47+AV47+AW47+AX47+AY47+AZ47+BA47+BB47+BC47+BD47</f>
        <v>16259.45</v>
      </c>
      <c r="AK47" s="221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>
        <v>11502</v>
      </c>
      <c r="AX47" s="222"/>
      <c r="AY47" s="222"/>
      <c r="AZ47" s="223"/>
      <c r="BA47" s="179">
        <v>4757.45</v>
      </c>
      <c r="BB47" s="179"/>
      <c r="BC47" s="179"/>
      <c r="BD47" s="179"/>
      <c r="BE47" s="235">
        <f t="shared" ref="BE47:BE69" si="17">AH47-AJ47</f>
        <v>10774.989999999998</v>
      </c>
      <c r="BF47" s="111"/>
      <c r="BG47" s="111"/>
      <c r="BH47" s="111"/>
    </row>
    <row r="48" spans="1:60" s="71" customFormat="1" ht="25.5" x14ac:dyDescent="0.25">
      <c r="A48" s="13">
        <v>3</v>
      </c>
      <c r="B48" s="199"/>
      <c r="C48" s="161" t="s">
        <v>133</v>
      </c>
      <c r="D48" s="245">
        <v>1975</v>
      </c>
      <c r="E48" s="245">
        <v>2</v>
      </c>
      <c r="F48" s="245">
        <v>18</v>
      </c>
      <c r="G48" s="249">
        <v>58</v>
      </c>
      <c r="H48" s="247">
        <v>788.23</v>
      </c>
      <c r="I48" s="247">
        <v>86.42</v>
      </c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20"/>
      <c r="U48" s="220"/>
      <c r="V48" s="220"/>
      <c r="W48" s="220"/>
      <c r="X48" s="220"/>
      <c r="Y48" s="220"/>
      <c r="Z48" s="220"/>
      <c r="AA48" s="220"/>
      <c r="AB48" s="220">
        <v>15835.68</v>
      </c>
      <c r="AC48" s="220">
        <v>18594.63</v>
      </c>
      <c r="AD48" s="220">
        <f t="shared" si="11"/>
        <v>27146.880000000005</v>
      </c>
      <c r="AE48" s="220"/>
      <c r="AF48" s="220">
        <f t="shared" si="12"/>
        <v>11311.200000000004</v>
      </c>
      <c r="AG48" s="220">
        <f t="shared" si="13"/>
        <v>11181.891784119391</v>
      </c>
      <c r="AH48" s="751">
        <f t="shared" si="14"/>
        <v>27146.880000000005</v>
      </c>
      <c r="AI48" s="751">
        <f t="shared" si="15"/>
        <v>29776.521784119392</v>
      </c>
      <c r="AJ48" s="747">
        <f t="shared" si="16"/>
        <v>22820.23</v>
      </c>
      <c r="AK48" s="221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>
        <v>18208.73</v>
      </c>
      <c r="AY48" s="222"/>
      <c r="AZ48" s="223"/>
      <c r="BA48" s="179">
        <v>4611.5</v>
      </c>
      <c r="BB48" s="179"/>
      <c r="BC48" s="179"/>
      <c r="BD48" s="179"/>
      <c r="BE48" s="235">
        <f t="shared" si="17"/>
        <v>4326.6500000000051</v>
      </c>
      <c r="BF48" s="111"/>
      <c r="BG48" s="111"/>
      <c r="BH48" s="111"/>
    </row>
    <row r="49" spans="1:60" s="71" customFormat="1" ht="25.5" x14ac:dyDescent="0.25">
      <c r="A49" s="13">
        <v>4</v>
      </c>
      <c r="B49" s="199"/>
      <c r="C49" s="161" t="s">
        <v>134</v>
      </c>
      <c r="D49" s="245">
        <v>1975</v>
      </c>
      <c r="E49" s="245">
        <v>2</v>
      </c>
      <c r="F49" s="245">
        <v>18</v>
      </c>
      <c r="G49" s="250">
        <v>42</v>
      </c>
      <c r="H49" s="247">
        <v>789.57</v>
      </c>
      <c r="I49" s="247">
        <v>86.42</v>
      </c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20"/>
      <c r="U49" s="220"/>
      <c r="V49" s="220"/>
      <c r="W49" s="220"/>
      <c r="X49" s="220"/>
      <c r="Y49" s="220"/>
      <c r="Z49" s="220"/>
      <c r="AA49" s="220"/>
      <c r="AB49" s="220">
        <v>19621.07</v>
      </c>
      <c r="AC49" s="220">
        <v>19671.89</v>
      </c>
      <c r="AD49" s="220">
        <f t="shared" si="11"/>
        <v>33636.119999999995</v>
      </c>
      <c r="AE49" s="220"/>
      <c r="AF49" s="220">
        <f t="shared" si="12"/>
        <v>14015.049999999996</v>
      </c>
      <c r="AG49" s="220">
        <f t="shared" si="13"/>
        <v>12294.126763228458</v>
      </c>
      <c r="AH49" s="751">
        <f t="shared" si="14"/>
        <v>33636.119999999995</v>
      </c>
      <c r="AI49" s="751">
        <f t="shared" si="15"/>
        <v>31966.016763228457</v>
      </c>
      <c r="AJ49" s="747">
        <f t="shared" si="16"/>
        <v>6383.37</v>
      </c>
      <c r="AK49" s="221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>
        <v>1893.07</v>
      </c>
      <c r="AZ49" s="223"/>
      <c r="BA49" s="179">
        <v>4490.3</v>
      </c>
      <c r="BB49" s="179"/>
      <c r="BC49" s="179"/>
      <c r="BD49" s="179"/>
      <c r="BE49" s="235">
        <f t="shared" si="17"/>
        <v>27252.749999999996</v>
      </c>
      <c r="BF49" s="111"/>
      <c r="BG49" s="111"/>
      <c r="BH49" s="111"/>
    </row>
    <row r="50" spans="1:60" s="71" customFormat="1" ht="17.25" customHeight="1" x14ac:dyDescent="0.25">
      <c r="A50" s="13">
        <v>5</v>
      </c>
      <c r="B50" s="199"/>
      <c r="C50" s="161" t="s">
        <v>135</v>
      </c>
      <c r="D50" s="245">
        <v>1975</v>
      </c>
      <c r="E50" s="245">
        <v>5</v>
      </c>
      <c r="F50" s="245">
        <v>90</v>
      </c>
      <c r="G50" s="249">
        <v>268</v>
      </c>
      <c r="H50" s="247">
        <v>4496.09</v>
      </c>
      <c r="I50" s="247">
        <v>423.6</v>
      </c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20"/>
      <c r="U50" s="220"/>
      <c r="V50" s="220"/>
      <c r="W50" s="220"/>
      <c r="X50" s="220"/>
      <c r="Y50" s="220"/>
      <c r="Z50" s="220"/>
      <c r="AA50" s="220"/>
      <c r="AB50" s="220">
        <v>107615.13</v>
      </c>
      <c r="AC50" s="220">
        <v>115699.97</v>
      </c>
      <c r="AD50" s="220">
        <f t="shared" si="11"/>
        <v>184483.08000000002</v>
      </c>
      <c r="AE50" s="220"/>
      <c r="AF50" s="220">
        <f t="shared" si="12"/>
        <v>76867.950000000012</v>
      </c>
      <c r="AG50" s="220">
        <f t="shared" si="13"/>
        <v>68456.422907169443</v>
      </c>
      <c r="AH50" s="751">
        <f t="shared" si="14"/>
        <v>184483.08000000002</v>
      </c>
      <c r="AI50" s="751">
        <f t="shared" si="15"/>
        <v>184156.39290716944</v>
      </c>
      <c r="AJ50" s="747">
        <f t="shared" si="16"/>
        <v>142010</v>
      </c>
      <c r="AK50" s="221">
        <v>22000</v>
      </c>
      <c r="AL50" s="222">
        <v>120010</v>
      </c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3"/>
      <c r="BA50" s="179"/>
      <c r="BB50" s="179"/>
      <c r="BC50" s="179"/>
      <c r="BD50" s="179"/>
      <c r="BE50" s="235">
        <f t="shared" si="17"/>
        <v>42473.080000000016</v>
      </c>
      <c r="BF50" s="111"/>
      <c r="BG50" s="111"/>
      <c r="BH50" s="111"/>
    </row>
    <row r="51" spans="1:60" s="71" customFormat="1" ht="25.5" x14ac:dyDescent="0.25">
      <c r="A51" s="13">
        <v>6</v>
      </c>
      <c r="B51" s="199"/>
      <c r="C51" s="161" t="s">
        <v>136</v>
      </c>
      <c r="D51" s="245">
        <v>1963</v>
      </c>
      <c r="E51" s="245">
        <v>2</v>
      </c>
      <c r="F51" s="245">
        <v>12</v>
      </c>
      <c r="G51" s="250">
        <v>39</v>
      </c>
      <c r="H51" s="247">
        <v>515.1</v>
      </c>
      <c r="I51" s="247">
        <v>49.6</v>
      </c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20"/>
      <c r="U51" s="220"/>
      <c r="V51" s="220"/>
      <c r="W51" s="220"/>
      <c r="X51" s="220"/>
      <c r="Y51" s="220"/>
      <c r="Z51" s="220"/>
      <c r="AA51" s="220"/>
      <c r="AB51" s="220">
        <v>10240.09</v>
      </c>
      <c r="AC51" s="220">
        <v>11388.08</v>
      </c>
      <c r="AD51" s="220">
        <f t="shared" si="11"/>
        <v>17554.440000000002</v>
      </c>
      <c r="AE51" s="220"/>
      <c r="AF51" s="220">
        <f t="shared" si="12"/>
        <v>7314.3500000000022</v>
      </c>
      <c r="AG51" s="220">
        <f t="shared" si="13"/>
        <v>6900.7083640669734</v>
      </c>
      <c r="AH51" s="751">
        <f t="shared" si="14"/>
        <v>17554.440000000002</v>
      </c>
      <c r="AI51" s="751">
        <f t="shared" si="15"/>
        <v>18288.788364066975</v>
      </c>
      <c r="AJ51" s="747">
        <f t="shared" si="16"/>
        <v>0</v>
      </c>
      <c r="AK51" s="221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3"/>
      <c r="BA51" s="179"/>
      <c r="BB51" s="179"/>
      <c r="BC51" s="179"/>
      <c r="BD51" s="179"/>
      <c r="BE51" s="235">
        <f t="shared" si="17"/>
        <v>17554.440000000002</v>
      </c>
      <c r="BF51" s="111"/>
      <c r="BG51" s="111"/>
      <c r="BH51" s="111"/>
    </row>
    <row r="52" spans="1:60" s="71" customFormat="1" ht="25.5" x14ac:dyDescent="0.25">
      <c r="A52" s="13">
        <v>7</v>
      </c>
      <c r="B52" s="199"/>
      <c r="C52" s="161" t="s">
        <v>137</v>
      </c>
      <c r="D52" s="245">
        <v>1963</v>
      </c>
      <c r="E52" s="245">
        <v>2</v>
      </c>
      <c r="F52" s="245">
        <v>16</v>
      </c>
      <c r="G52" s="249">
        <v>43</v>
      </c>
      <c r="H52" s="247">
        <v>624.4</v>
      </c>
      <c r="I52" s="247">
        <v>76</v>
      </c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20"/>
      <c r="U52" s="220"/>
      <c r="V52" s="220"/>
      <c r="W52" s="220"/>
      <c r="X52" s="220"/>
      <c r="Y52" s="220"/>
      <c r="Z52" s="220"/>
      <c r="AA52" s="220"/>
      <c r="AB52" s="220">
        <v>12403.23</v>
      </c>
      <c r="AC52" s="220">
        <v>14848.49</v>
      </c>
      <c r="AD52" s="220">
        <f t="shared" si="11"/>
        <v>21262.68</v>
      </c>
      <c r="AE52" s="220"/>
      <c r="AF52" s="220">
        <f t="shared" si="12"/>
        <v>8859.4500000000007</v>
      </c>
      <c r="AG52" s="220">
        <f t="shared" si="13"/>
        <v>9206.9519962175691</v>
      </c>
      <c r="AH52" s="751">
        <f t="shared" si="14"/>
        <v>21262.68</v>
      </c>
      <c r="AI52" s="751">
        <f t="shared" si="15"/>
        <v>24055.441996217567</v>
      </c>
      <c r="AJ52" s="747">
        <f t="shared" si="16"/>
        <v>3998.58</v>
      </c>
      <c r="AK52" s="221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>
        <v>3998.58</v>
      </c>
      <c r="AZ52" s="223"/>
      <c r="BA52" s="179"/>
      <c r="BB52" s="179"/>
      <c r="BC52" s="179"/>
      <c r="BD52" s="179"/>
      <c r="BE52" s="235">
        <f t="shared" si="17"/>
        <v>17264.099999999999</v>
      </c>
      <c r="BF52" s="111"/>
      <c r="BG52" s="111"/>
      <c r="BH52" s="111"/>
    </row>
    <row r="53" spans="1:60" s="71" customFormat="1" ht="25.5" x14ac:dyDescent="0.25">
      <c r="A53" s="13">
        <v>8</v>
      </c>
      <c r="B53" s="199"/>
      <c r="C53" s="161" t="s">
        <v>138</v>
      </c>
      <c r="D53" s="245">
        <v>1963</v>
      </c>
      <c r="E53" s="245">
        <v>2</v>
      </c>
      <c r="F53" s="245">
        <v>16</v>
      </c>
      <c r="G53" s="250">
        <v>27</v>
      </c>
      <c r="H53" s="247">
        <v>630.29999999999995</v>
      </c>
      <c r="I53" s="247">
        <v>76</v>
      </c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20"/>
      <c r="U53" s="220"/>
      <c r="V53" s="220"/>
      <c r="W53" s="220"/>
      <c r="X53" s="220"/>
      <c r="Y53" s="220"/>
      <c r="Z53" s="220"/>
      <c r="AA53" s="220"/>
      <c r="AB53" s="220">
        <v>12574.73</v>
      </c>
      <c r="AC53" s="220">
        <v>8922.07</v>
      </c>
      <c r="AD53" s="220">
        <f t="shared" si="11"/>
        <v>21556.68</v>
      </c>
      <c r="AE53" s="220"/>
      <c r="AF53" s="220">
        <f t="shared" si="12"/>
        <v>8981.9500000000007</v>
      </c>
      <c r="AG53" s="220">
        <f t="shared" si="13"/>
        <v>5141.8134661917284</v>
      </c>
      <c r="AH53" s="751">
        <f t="shared" si="14"/>
        <v>21556.68</v>
      </c>
      <c r="AI53" s="751">
        <f t="shared" si="15"/>
        <v>14063.883466191728</v>
      </c>
      <c r="AJ53" s="747">
        <f t="shared" si="16"/>
        <v>2469.87</v>
      </c>
      <c r="AK53" s="221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>
        <v>2469.87</v>
      </c>
      <c r="AZ53" s="223"/>
      <c r="BA53" s="179"/>
      <c r="BB53" s="179"/>
      <c r="BC53" s="179"/>
      <c r="BD53" s="179"/>
      <c r="BE53" s="235">
        <f t="shared" si="17"/>
        <v>19086.810000000001</v>
      </c>
      <c r="BF53" s="111"/>
      <c r="BG53" s="111"/>
      <c r="BH53" s="111"/>
    </row>
    <row r="54" spans="1:60" s="71" customFormat="1" ht="14.25" customHeight="1" x14ac:dyDescent="0.25">
      <c r="A54" s="13">
        <v>9</v>
      </c>
      <c r="B54" s="199"/>
      <c r="C54" s="161" t="s">
        <v>139</v>
      </c>
      <c r="D54" s="245">
        <v>1963</v>
      </c>
      <c r="E54" s="245">
        <v>2</v>
      </c>
      <c r="F54" s="245">
        <v>8</v>
      </c>
      <c r="G54" s="249">
        <v>18</v>
      </c>
      <c r="H54" s="247">
        <v>313</v>
      </c>
      <c r="I54" s="247">
        <v>73.5</v>
      </c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20"/>
      <c r="U54" s="220"/>
      <c r="V54" s="220"/>
      <c r="W54" s="220"/>
      <c r="X54" s="220"/>
      <c r="Y54" s="220"/>
      <c r="Z54" s="220"/>
      <c r="AA54" s="220"/>
      <c r="AB54" s="220">
        <v>6310.01</v>
      </c>
      <c r="AC54" s="220">
        <v>7645.77</v>
      </c>
      <c r="AD54" s="220">
        <f t="shared" si="11"/>
        <v>10817.16</v>
      </c>
      <c r="AE54" s="220"/>
      <c r="AF54" s="220">
        <f t="shared" si="12"/>
        <v>4507.1499999999996</v>
      </c>
      <c r="AG54" s="220">
        <f t="shared" si="13"/>
        <v>4401.253864105056</v>
      </c>
      <c r="AH54" s="751">
        <f t="shared" si="14"/>
        <v>10817.16</v>
      </c>
      <c r="AI54" s="751">
        <f t="shared" si="15"/>
        <v>12047.023864105056</v>
      </c>
      <c r="AJ54" s="747">
        <f t="shared" si="16"/>
        <v>0</v>
      </c>
      <c r="AK54" s="221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3"/>
      <c r="BA54" s="179"/>
      <c r="BB54" s="179"/>
      <c r="BC54" s="179"/>
      <c r="BD54" s="179"/>
      <c r="BE54" s="235">
        <f t="shared" si="17"/>
        <v>10817.16</v>
      </c>
      <c r="BF54" s="111"/>
      <c r="BG54" s="111"/>
      <c r="BH54" s="111"/>
    </row>
    <row r="55" spans="1:60" s="71" customFormat="1" ht="14.25" customHeight="1" x14ac:dyDescent="0.25">
      <c r="A55" s="29">
        <v>10</v>
      </c>
      <c r="B55" s="201"/>
      <c r="C55" s="162" t="s">
        <v>140</v>
      </c>
      <c r="D55" s="251">
        <v>1977</v>
      </c>
      <c r="E55" s="251">
        <v>5</v>
      </c>
      <c r="F55" s="251">
        <v>90</v>
      </c>
      <c r="G55" s="252">
        <v>231</v>
      </c>
      <c r="H55" s="247">
        <v>4846.6000000000004</v>
      </c>
      <c r="I55" s="247">
        <v>585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25"/>
      <c r="U55" s="225"/>
      <c r="V55" s="225"/>
      <c r="W55" s="225"/>
      <c r="X55" s="225"/>
      <c r="Y55" s="225"/>
      <c r="Z55" s="225"/>
      <c r="AA55" s="225"/>
      <c r="AB55" s="225">
        <v>112278.2</v>
      </c>
      <c r="AC55" s="225">
        <v>120959.45</v>
      </c>
      <c r="AD55" s="220">
        <f t="shared" si="11"/>
        <v>192476.91428571427</v>
      </c>
      <c r="AE55" s="220"/>
      <c r="AF55" s="220">
        <f t="shared" si="12"/>
        <v>80198.714285714275</v>
      </c>
      <c r="AG55" s="220">
        <f t="shared" si="13"/>
        <v>71025.634760029498</v>
      </c>
      <c r="AH55" s="751">
        <f t="shared" si="14"/>
        <v>192476.91428571427</v>
      </c>
      <c r="AI55" s="751">
        <f t="shared" si="15"/>
        <v>191985.08476002951</v>
      </c>
      <c r="AJ55" s="747">
        <f t="shared" si="16"/>
        <v>228047.59000000005</v>
      </c>
      <c r="AK55" s="210">
        <v>11000</v>
      </c>
      <c r="AL55" s="222">
        <v>120010</v>
      </c>
      <c r="AM55" s="222">
        <v>8522.85</v>
      </c>
      <c r="AN55" s="222"/>
      <c r="AO55" s="222">
        <v>953</v>
      </c>
      <c r="AP55" s="222">
        <v>13805.07</v>
      </c>
      <c r="AQ55" s="222"/>
      <c r="AR55" s="222">
        <v>56742.23</v>
      </c>
      <c r="AS55" s="226">
        <v>1015.7</v>
      </c>
      <c r="AT55" s="226">
        <v>1794.5</v>
      </c>
      <c r="AU55" s="226">
        <v>11831.6</v>
      </c>
      <c r="AV55" s="222">
        <v>2372.64</v>
      </c>
      <c r="AW55" s="222"/>
      <c r="AX55" s="222"/>
      <c r="AY55" s="222"/>
      <c r="AZ55" s="223"/>
      <c r="BA55" s="179"/>
      <c r="BB55" s="179"/>
      <c r="BC55" s="179"/>
      <c r="BD55" s="179"/>
      <c r="BE55" s="235">
        <f t="shared" si="17"/>
        <v>-35570.675714285782</v>
      </c>
      <c r="BF55" s="111"/>
      <c r="BG55" s="111"/>
      <c r="BH55" s="111"/>
    </row>
    <row r="56" spans="1:60" s="71" customFormat="1" ht="14.25" customHeight="1" x14ac:dyDescent="0.25">
      <c r="A56" s="13">
        <v>11</v>
      </c>
      <c r="B56" s="199"/>
      <c r="C56" s="161" t="s">
        <v>141</v>
      </c>
      <c r="D56" s="245">
        <v>1983</v>
      </c>
      <c r="E56" s="245">
        <v>4</v>
      </c>
      <c r="F56" s="245">
        <v>48</v>
      </c>
      <c r="G56" s="249">
        <v>143</v>
      </c>
      <c r="H56" s="247">
        <v>2619.02</v>
      </c>
      <c r="I56" s="247">
        <v>317.89999999999998</v>
      </c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20"/>
      <c r="U56" s="220"/>
      <c r="V56" s="220"/>
      <c r="W56" s="220"/>
      <c r="X56" s="220"/>
      <c r="Y56" s="220"/>
      <c r="Z56" s="220"/>
      <c r="AA56" s="220"/>
      <c r="AB56" s="220">
        <v>62882.54</v>
      </c>
      <c r="AC56" s="220">
        <v>67525.509999999995</v>
      </c>
      <c r="AD56" s="220">
        <f t="shared" si="11"/>
        <v>107798.63999999998</v>
      </c>
      <c r="AE56" s="220"/>
      <c r="AF56" s="220">
        <f t="shared" si="12"/>
        <v>44916.099999999984</v>
      </c>
      <c r="AG56" s="220">
        <f t="shared" si="13"/>
        <v>40637.70657278772</v>
      </c>
      <c r="AH56" s="751">
        <f t="shared" si="14"/>
        <v>107798.63999999998</v>
      </c>
      <c r="AI56" s="751">
        <f t="shared" si="15"/>
        <v>108163.21657278771</v>
      </c>
      <c r="AJ56" s="747">
        <f t="shared" si="16"/>
        <v>53321.229999999996</v>
      </c>
      <c r="AK56" s="221">
        <v>11000</v>
      </c>
      <c r="AL56" s="222"/>
      <c r="AM56" s="222">
        <v>19243.32</v>
      </c>
      <c r="AN56" s="222">
        <v>3309.11</v>
      </c>
      <c r="AO56" s="222"/>
      <c r="AP56" s="222"/>
      <c r="AQ56" s="222"/>
      <c r="AR56" s="222"/>
      <c r="AS56" s="222">
        <v>673.2</v>
      </c>
      <c r="AT56" s="222"/>
      <c r="AU56" s="222"/>
      <c r="AV56" s="222"/>
      <c r="AW56" s="222"/>
      <c r="AX56" s="222">
        <v>19095.599999999999</v>
      </c>
      <c r="AY56" s="222"/>
      <c r="AZ56" s="223"/>
      <c r="BA56" s="179"/>
      <c r="BB56" s="179"/>
      <c r="BC56" s="179"/>
      <c r="BD56" s="179"/>
      <c r="BE56" s="235">
        <f t="shared" si="17"/>
        <v>54477.409999999989</v>
      </c>
      <c r="BF56" s="111"/>
      <c r="BG56" s="111"/>
      <c r="BH56" s="111"/>
    </row>
    <row r="57" spans="1:60" s="71" customFormat="1" ht="14.25" customHeight="1" x14ac:dyDescent="0.25">
      <c r="A57" s="13">
        <v>12</v>
      </c>
      <c r="B57" s="199"/>
      <c r="C57" s="161" t="s">
        <v>142</v>
      </c>
      <c r="D57" s="245">
        <v>1983</v>
      </c>
      <c r="E57" s="245">
        <v>4</v>
      </c>
      <c r="F57" s="245">
        <v>48</v>
      </c>
      <c r="G57" s="250">
        <v>137</v>
      </c>
      <c r="H57" s="247">
        <v>2614.1999999999998</v>
      </c>
      <c r="I57" s="247">
        <v>317.89999999999998</v>
      </c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20"/>
      <c r="U57" s="220"/>
      <c r="V57" s="220"/>
      <c r="W57" s="220"/>
      <c r="X57" s="220"/>
      <c r="Y57" s="220"/>
      <c r="Z57" s="220"/>
      <c r="AA57" s="220"/>
      <c r="AB57" s="220">
        <v>62742.96</v>
      </c>
      <c r="AC57" s="220">
        <v>74127.91</v>
      </c>
      <c r="AD57" s="220">
        <f t="shared" si="11"/>
        <v>107559.36000000002</v>
      </c>
      <c r="AE57" s="220"/>
      <c r="AF57" s="220">
        <f t="shared" si="12"/>
        <v>44816.400000000016</v>
      </c>
      <c r="AG57" s="220">
        <f t="shared" si="13"/>
        <v>43684.554466376372</v>
      </c>
      <c r="AH57" s="751">
        <f t="shared" si="14"/>
        <v>107559.36000000002</v>
      </c>
      <c r="AI57" s="751">
        <f t="shared" si="15"/>
        <v>117812.46446637638</v>
      </c>
      <c r="AJ57" s="747">
        <f t="shared" si="16"/>
        <v>25765.25</v>
      </c>
      <c r="AK57" s="221">
        <v>22000</v>
      </c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>
        <v>2682.25</v>
      </c>
      <c r="AZ57" s="223">
        <v>1083</v>
      </c>
      <c r="BA57" s="179"/>
      <c r="BB57" s="179"/>
      <c r="BC57" s="179"/>
      <c r="BD57" s="179"/>
      <c r="BE57" s="235">
        <f t="shared" si="17"/>
        <v>81794.110000000015</v>
      </c>
      <c r="BF57" s="111"/>
      <c r="BG57" s="111"/>
      <c r="BH57" s="111"/>
    </row>
    <row r="58" spans="1:60" s="71" customFormat="1" ht="15" customHeight="1" x14ac:dyDescent="0.25">
      <c r="A58" s="13">
        <v>13</v>
      </c>
      <c r="B58" s="199"/>
      <c r="C58" s="163" t="s">
        <v>143</v>
      </c>
      <c r="D58" s="245">
        <v>1975</v>
      </c>
      <c r="E58" s="245">
        <v>2</v>
      </c>
      <c r="F58" s="245">
        <v>12</v>
      </c>
      <c r="G58" s="249">
        <v>30</v>
      </c>
      <c r="H58" s="247">
        <v>503.62</v>
      </c>
      <c r="I58" s="247">
        <v>58.2</v>
      </c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20"/>
      <c r="U58" s="220"/>
      <c r="V58" s="220"/>
      <c r="W58" s="220"/>
      <c r="X58" s="220"/>
      <c r="Y58" s="220"/>
      <c r="Z58" s="220"/>
      <c r="AA58" s="220"/>
      <c r="AB58" s="220">
        <v>10540.88</v>
      </c>
      <c r="AC58" s="220">
        <v>9805.51</v>
      </c>
      <c r="AD58" s="220">
        <f t="shared" si="11"/>
        <v>18070.079999999998</v>
      </c>
      <c r="AE58" s="220"/>
      <c r="AF58" s="220">
        <f t="shared" si="12"/>
        <v>7529.1999999999989</v>
      </c>
      <c r="AG58" s="220">
        <f t="shared" si="13"/>
        <v>5586.8552279036303</v>
      </c>
      <c r="AH58" s="751">
        <f t="shared" si="14"/>
        <v>18070.079999999998</v>
      </c>
      <c r="AI58" s="751">
        <f t="shared" si="15"/>
        <v>15392.365227903631</v>
      </c>
      <c r="AJ58" s="747">
        <f t="shared" si="16"/>
        <v>7640.88</v>
      </c>
      <c r="AK58" s="221"/>
      <c r="AL58" s="222"/>
      <c r="AM58" s="222">
        <v>3884.88</v>
      </c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3"/>
      <c r="BA58" s="179"/>
      <c r="BB58" s="179"/>
      <c r="BC58" s="179">
        <v>3756</v>
      </c>
      <c r="BD58" s="179"/>
      <c r="BE58" s="235">
        <f t="shared" si="17"/>
        <v>10429.199999999997</v>
      </c>
      <c r="BF58" s="111"/>
      <c r="BG58" s="111"/>
      <c r="BH58" s="111"/>
    </row>
    <row r="59" spans="1:60" s="71" customFormat="1" x14ac:dyDescent="0.25">
      <c r="A59" s="13">
        <v>14</v>
      </c>
      <c r="B59" s="199"/>
      <c r="C59" s="163" t="s">
        <v>78</v>
      </c>
      <c r="D59" s="245">
        <v>1975</v>
      </c>
      <c r="E59" s="245">
        <v>2</v>
      </c>
      <c r="F59" s="245">
        <v>12</v>
      </c>
      <c r="G59" s="250">
        <v>31</v>
      </c>
      <c r="H59" s="247">
        <v>528.76</v>
      </c>
      <c r="I59" s="247">
        <v>52.8</v>
      </c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20"/>
      <c r="U59" s="220"/>
      <c r="V59" s="220"/>
      <c r="W59" s="220"/>
      <c r="X59" s="220"/>
      <c r="Y59" s="220"/>
      <c r="Z59" s="220"/>
      <c r="AA59" s="220"/>
      <c r="AB59" s="220">
        <v>11027.03</v>
      </c>
      <c r="AC59" s="220">
        <v>12736.87</v>
      </c>
      <c r="AD59" s="220">
        <f t="shared" si="11"/>
        <v>18903.480000000003</v>
      </c>
      <c r="AE59" s="220"/>
      <c r="AF59" s="220">
        <f t="shared" si="12"/>
        <v>7876.4500000000025</v>
      </c>
      <c r="AG59" s="220">
        <f t="shared" si="13"/>
        <v>7751.4626727662981</v>
      </c>
      <c r="AH59" s="751">
        <f t="shared" si="14"/>
        <v>18903.480000000003</v>
      </c>
      <c r="AI59" s="751">
        <f t="shared" si="15"/>
        <v>20488.332672766301</v>
      </c>
      <c r="AJ59" s="747">
        <f t="shared" si="16"/>
        <v>4566</v>
      </c>
      <c r="AK59" s="221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3">
        <v>810</v>
      </c>
      <c r="BA59" s="179"/>
      <c r="BB59" s="179"/>
      <c r="BC59" s="179">
        <v>3756</v>
      </c>
      <c r="BD59" s="179"/>
      <c r="BE59" s="235">
        <f t="shared" si="17"/>
        <v>14337.480000000003</v>
      </c>
      <c r="BF59" s="111"/>
      <c r="BG59" s="111"/>
      <c r="BH59" s="111"/>
    </row>
    <row r="60" spans="1:60" s="71" customFormat="1" x14ac:dyDescent="0.25">
      <c r="A60" s="13">
        <v>15</v>
      </c>
      <c r="B60" s="199"/>
      <c r="C60" s="163" t="s">
        <v>144</v>
      </c>
      <c r="D60" s="245">
        <v>1975</v>
      </c>
      <c r="E60" s="245">
        <v>2</v>
      </c>
      <c r="F60" s="245">
        <v>12</v>
      </c>
      <c r="G60" s="249">
        <v>23</v>
      </c>
      <c r="H60" s="247">
        <v>528.33000000000004</v>
      </c>
      <c r="I60" s="247">
        <v>52.4</v>
      </c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20"/>
      <c r="U60" s="220"/>
      <c r="V60" s="220"/>
      <c r="W60" s="220"/>
      <c r="X60" s="220"/>
      <c r="Y60" s="220"/>
      <c r="Z60" s="220"/>
      <c r="AA60" s="220"/>
      <c r="AB60" s="220">
        <v>11097.03</v>
      </c>
      <c r="AC60" s="220">
        <v>12313.99</v>
      </c>
      <c r="AD60" s="220">
        <f t="shared" si="11"/>
        <v>19023.480000000003</v>
      </c>
      <c r="AE60" s="220"/>
      <c r="AF60" s="220">
        <f t="shared" si="12"/>
        <v>7926.4500000000025</v>
      </c>
      <c r="AG60" s="220">
        <f t="shared" si="13"/>
        <v>7376.1527545017307</v>
      </c>
      <c r="AH60" s="751">
        <f t="shared" si="14"/>
        <v>19023.480000000003</v>
      </c>
      <c r="AI60" s="751">
        <f t="shared" si="15"/>
        <v>19690.142754501729</v>
      </c>
      <c r="AJ60" s="747">
        <f t="shared" si="16"/>
        <v>4729.9800000000005</v>
      </c>
      <c r="AK60" s="221"/>
      <c r="AL60" s="222"/>
      <c r="AM60" s="222">
        <v>3884.88</v>
      </c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3"/>
      <c r="BA60" s="179"/>
      <c r="BB60" s="179"/>
      <c r="BC60" s="179"/>
      <c r="BD60" s="179">
        <v>845.1</v>
      </c>
      <c r="BE60" s="235">
        <f t="shared" si="17"/>
        <v>14293.500000000004</v>
      </c>
      <c r="BF60" s="111"/>
      <c r="BG60" s="111"/>
      <c r="BH60" s="111"/>
    </row>
    <row r="61" spans="1:60" s="71" customFormat="1" x14ac:dyDescent="0.25">
      <c r="A61" s="13">
        <v>16</v>
      </c>
      <c r="B61" s="199"/>
      <c r="C61" s="163" t="s">
        <v>145</v>
      </c>
      <c r="D61" s="245">
        <v>1968</v>
      </c>
      <c r="E61" s="245">
        <v>2</v>
      </c>
      <c r="F61" s="245">
        <v>16</v>
      </c>
      <c r="G61" s="250">
        <v>35</v>
      </c>
      <c r="H61" s="247">
        <v>715.87</v>
      </c>
      <c r="I61" s="247">
        <v>76</v>
      </c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20"/>
      <c r="U61" s="220"/>
      <c r="V61" s="220"/>
      <c r="W61" s="220"/>
      <c r="X61" s="220"/>
      <c r="Y61" s="220"/>
      <c r="Z61" s="220"/>
      <c r="AA61" s="220"/>
      <c r="AB61" s="220">
        <v>15183.56</v>
      </c>
      <c r="AC61" s="220">
        <v>15812.44</v>
      </c>
      <c r="AD61" s="220">
        <f t="shared" si="11"/>
        <v>26028.959999999999</v>
      </c>
      <c r="AE61" s="220"/>
      <c r="AF61" s="220">
        <f t="shared" si="12"/>
        <v>10845.4</v>
      </c>
      <c r="AG61" s="220">
        <f t="shared" si="13"/>
        <v>9436.1911213901622</v>
      </c>
      <c r="AH61" s="751">
        <f t="shared" si="14"/>
        <v>26028.959999999999</v>
      </c>
      <c r="AI61" s="751">
        <f t="shared" si="15"/>
        <v>25248.631121390164</v>
      </c>
      <c r="AJ61" s="747">
        <f t="shared" si="16"/>
        <v>3756</v>
      </c>
      <c r="AK61" s="221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3"/>
      <c r="BA61" s="179"/>
      <c r="BB61" s="179"/>
      <c r="BC61" s="179">
        <v>3756</v>
      </c>
      <c r="BD61" s="179"/>
      <c r="BE61" s="235">
        <f t="shared" si="17"/>
        <v>22272.959999999999</v>
      </c>
      <c r="BF61" s="111"/>
      <c r="BG61" s="111"/>
      <c r="BH61" s="111"/>
    </row>
    <row r="62" spans="1:60" ht="16.5" customHeight="1" x14ac:dyDescent="0.25">
      <c r="A62" s="29">
        <v>17</v>
      </c>
      <c r="B62" s="201"/>
      <c r="C62" s="164" t="s">
        <v>146</v>
      </c>
      <c r="D62" s="251">
        <v>1989</v>
      </c>
      <c r="E62" s="251">
        <v>1</v>
      </c>
      <c r="F62" s="251">
        <v>2</v>
      </c>
      <c r="G62" s="254">
        <v>5</v>
      </c>
      <c r="H62" s="247">
        <v>108</v>
      </c>
      <c r="I62" s="247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0">
        <f t="shared" si="11"/>
        <v>0</v>
      </c>
      <c r="AE62" s="220"/>
      <c r="AF62" s="220">
        <f t="shared" si="12"/>
        <v>0</v>
      </c>
      <c r="AG62" s="220">
        <f t="shared" si="13"/>
        <v>0</v>
      </c>
      <c r="AH62" s="751">
        <f t="shared" si="14"/>
        <v>0</v>
      </c>
      <c r="AI62" s="751">
        <f t="shared" si="15"/>
        <v>0</v>
      </c>
      <c r="AJ62" s="747">
        <f t="shared" si="16"/>
        <v>0</v>
      </c>
      <c r="AK62" s="210"/>
      <c r="AL62" s="222"/>
      <c r="AM62" s="222"/>
      <c r="AN62" s="222"/>
      <c r="AO62" s="222"/>
      <c r="AP62" s="222"/>
      <c r="AQ62" s="222"/>
      <c r="AR62" s="222"/>
      <c r="AS62" s="210"/>
      <c r="AT62" s="210"/>
      <c r="AU62" s="210"/>
      <c r="AV62" s="222"/>
      <c r="AW62" s="222"/>
      <c r="AX62" s="222"/>
      <c r="AY62" s="222"/>
      <c r="AZ62" s="223"/>
      <c r="BA62" s="179"/>
      <c r="BB62" s="179"/>
      <c r="BC62" s="179"/>
      <c r="BD62" s="179"/>
      <c r="BE62" s="235">
        <f t="shared" si="17"/>
        <v>0</v>
      </c>
      <c r="BF62" s="111"/>
      <c r="BG62" s="111"/>
      <c r="BH62" s="111"/>
    </row>
    <row r="63" spans="1:60" ht="14.25" customHeight="1" x14ac:dyDescent="0.25">
      <c r="A63" s="29">
        <v>18</v>
      </c>
      <c r="B63" s="205">
        <v>42648</v>
      </c>
      <c r="C63" s="164" t="s">
        <v>147</v>
      </c>
      <c r="D63" s="251">
        <v>1989</v>
      </c>
      <c r="E63" s="251">
        <v>1</v>
      </c>
      <c r="F63" s="251">
        <v>2</v>
      </c>
      <c r="G63" s="251">
        <v>6</v>
      </c>
      <c r="H63" s="247">
        <v>54</v>
      </c>
      <c r="I63" s="247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0">
        <f t="shared" si="11"/>
        <v>0</v>
      </c>
      <c r="AE63" s="220"/>
      <c r="AF63" s="220">
        <f t="shared" si="12"/>
        <v>0</v>
      </c>
      <c r="AG63" s="220">
        <f t="shared" si="13"/>
        <v>0</v>
      </c>
      <c r="AH63" s="751">
        <f t="shared" si="14"/>
        <v>0</v>
      </c>
      <c r="AI63" s="751">
        <f t="shared" si="15"/>
        <v>0</v>
      </c>
      <c r="AJ63" s="747">
        <f t="shared" si="16"/>
        <v>0</v>
      </c>
      <c r="AK63" s="210"/>
      <c r="AL63" s="222"/>
      <c r="AM63" s="222"/>
      <c r="AN63" s="222"/>
      <c r="AO63" s="222"/>
      <c r="AP63" s="222"/>
      <c r="AQ63" s="222"/>
      <c r="AR63" s="222"/>
      <c r="AS63" s="210"/>
      <c r="AT63" s="210"/>
      <c r="AU63" s="210"/>
      <c r="AV63" s="222"/>
      <c r="AW63" s="222"/>
      <c r="AX63" s="222"/>
      <c r="AY63" s="222"/>
      <c r="AZ63" s="223"/>
      <c r="BA63" s="179"/>
      <c r="BB63" s="179"/>
      <c r="BC63" s="179"/>
      <c r="BD63" s="179"/>
      <c r="BE63" s="235">
        <f t="shared" si="17"/>
        <v>0</v>
      </c>
      <c r="BF63" s="111"/>
      <c r="BG63" s="111"/>
      <c r="BH63" s="111"/>
    </row>
    <row r="64" spans="1:60" ht="15.75" customHeight="1" x14ac:dyDescent="0.25">
      <c r="A64" s="29">
        <v>19</v>
      </c>
      <c r="B64" s="205">
        <v>42648</v>
      </c>
      <c r="C64" s="164" t="s">
        <v>214</v>
      </c>
      <c r="D64" s="251">
        <v>1989</v>
      </c>
      <c r="E64" s="251">
        <v>1</v>
      </c>
      <c r="F64" s="251">
        <v>2</v>
      </c>
      <c r="G64" s="251"/>
      <c r="H64" s="247">
        <v>108</v>
      </c>
      <c r="I64" s="247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0">
        <f t="shared" si="11"/>
        <v>0</v>
      </c>
      <c r="AE64" s="220"/>
      <c r="AF64" s="220">
        <f t="shared" si="12"/>
        <v>0</v>
      </c>
      <c r="AG64" s="220">
        <f t="shared" si="13"/>
        <v>0</v>
      </c>
      <c r="AH64" s="751">
        <f t="shared" si="14"/>
        <v>0</v>
      </c>
      <c r="AI64" s="751">
        <f t="shared" si="15"/>
        <v>0</v>
      </c>
      <c r="AJ64" s="747">
        <f t="shared" si="16"/>
        <v>0</v>
      </c>
      <c r="AK64" s="229"/>
      <c r="AL64" s="221"/>
      <c r="AM64" s="221"/>
      <c r="AN64" s="221"/>
      <c r="AO64" s="221"/>
      <c r="AP64" s="221"/>
      <c r="AQ64" s="221"/>
      <c r="AR64" s="221"/>
      <c r="AS64" s="210"/>
      <c r="AT64" s="229"/>
      <c r="AU64" s="229"/>
      <c r="AV64" s="222"/>
      <c r="AW64" s="222"/>
      <c r="AX64" s="222"/>
      <c r="AY64" s="222"/>
      <c r="AZ64" s="223"/>
      <c r="BA64" s="179"/>
      <c r="BB64" s="179"/>
      <c r="BC64" s="179"/>
      <c r="BD64" s="179"/>
      <c r="BE64" s="235">
        <f t="shared" si="17"/>
        <v>0</v>
      </c>
      <c r="BF64" s="111"/>
      <c r="BG64" s="111"/>
      <c r="BH64" s="111"/>
    </row>
    <row r="65" spans="1:60" s="71" customFormat="1" x14ac:dyDescent="0.25">
      <c r="A65" s="13">
        <v>20</v>
      </c>
      <c r="B65" s="199"/>
      <c r="C65" s="164" t="s">
        <v>148</v>
      </c>
      <c r="D65" s="251">
        <v>2010</v>
      </c>
      <c r="E65" s="251">
        <v>2</v>
      </c>
      <c r="F65" s="251">
        <v>10</v>
      </c>
      <c r="G65" s="251">
        <v>30</v>
      </c>
      <c r="H65" s="246">
        <v>637.20000000000005</v>
      </c>
      <c r="I65" s="246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27"/>
      <c r="U65" s="227"/>
      <c r="V65" s="227"/>
      <c r="W65" s="227"/>
      <c r="X65" s="227"/>
      <c r="Y65" s="227"/>
      <c r="Z65" s="227"/>
      <c r="AA65" s="227"/>
      <c r="AB65" s="227">
        <v>5843.32</v>
      </c>
      <c r="AC65" s="227">
        <v>6536.09</v>
      </c>
      <c r="AD65" s="220">
        <f t="shared" si="11"/>
        <v>10017.119999999999</v>
      </c>
      <c r="AE65" s="220"/>
      <c r="AF65" s="220">
        <f t="shared" si="12"/>
        <v>4173.7999999999993</v>
      </c>
      <c r="AG65" s="220">
        <f t="shared" si="13"/>
        <v>4045.8918099492148</v>
      </c>
      <c r="AH65" s="751">
        <f t="shared" si="14"/>
        <v>10017.119999999999</v>
      </c>
      <c r="AI65" s="751">
        <f t="shared" si="15"/>
        <v>10581.981809949215</v>
      </c>
      <c r="AJ65" s="747">
        <f t="shared" si="16"/>
        <v>64184</v>
      </c>
      <c r="AK65" s="210"/>
      <c r="AL65" s="221">
        <v>64184</v>
      </c>
      <c r="AM65" s="221"/>
      <c r="AN65" s="221"/>
      <c r="AO65" s="221"/>
      <c r="AP65" s="221"/>
      <c r="AQ65" s="221"/>
      <c r="AR65" s="221"/>
      <c r="AS65" s="210"/>
      <c r="AT65" s="210"/>
      <c r="AU65" s="210"/>
      <c r="AV65" s="221"/>
      <c r="AW65" s="221"/>
      <c r="AX65" s="221"/>
      <c r="AY65" s="221"/>
      <c r="AZ65" s="179"/>
      <c r="BA65" s="179"/>
      <c r="BB65" s="179"/>
      <c r="BC65" s="179"/>
      <c r="BD65" s="179"/>
      <c r="BE65" s="235">
        <f t="shared" si="17"/>
        <v>-54166.880000000005</v>
      </c>
      <c r="BF65" s="111"/>
      <c r="BG65" s="111"/>
      <c r="BH65" s="111"/>
    </row>
    <row r="66" spans="1:60" s="71" customFormat="1" ht="15.75" customHeight="1" x14ac:dyDescent="0.25">
      <c r="A66" s="13">
        <v>21</v>
      </c>
      <c r="B66" s="199"/>
      <c r="C66" s="164" t="s">
        <v>196</v>
      </c>
      <c r="D66" s="251">
        <v>2012</v>
      </c>
      <c r="E66" s="251">
        <v>2</v>
      </c>
      <c r="F66" s="251"/>
      <c r="G66" s="251"/>
      <c r="H66" s="246">
        <v>1179.9000000000001</v>
      </c>
      <c r="I66" s="246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28"/>
      <c r="U66" s="228"/>
      <c r="V66" s="228"/>
      <c r="W66" s="228"/>
      <c r="X66" s="228"/>
      <c r="Y66" s="228"/>
      <c r="Z66" s="228"/>
      <c r="AA66" s="228"/>
      <c r="AB66" s="228">
        <v>16518.599999999999</v>
      </c>
      <c r="AC66" s="228">
        <v>16262.83</v>
      </c>
      <c r="AD66" s="220">
        <f t="shared" si="11"/>
        <v>28317.599999999999</v>
      </c>
      <c r="AE66" s="220"/>
      <c r="AF66" s="220">
        <f t="shared" si="12"/>
        <v>11799</v>
      </c>
      <c r="AG66" s="220">
        <f t="shared" si="13"/>
        <v>9295.6599385852314</v>
      </c>
      <c r="AH66" s="751">
        <f t="shared" si="14"/>
        <v>28317.599999999999</v>
      </c>
      <c r="AI66" s="751">
        <f t="shared" si="15"/>
        <v>25558.489938585233</v>
      </c>
      <c r="AJ66" s="747">
        <f t="shared" si="16"/>
        <v>12696.82</v>
      </c>
      <c r="AK66" s="229"/>
      <c r="AL66" s="221"/>
      <c r="AM66" s="221"/>
      <c r="AN66" s="221"/>
      <c r="AO66" s="221">
        <v>6416.82</v>
      </c>
      <c r="AP66" s="221">
        <v>6280</v>
      </c>
      <c r="AQ66" s="221"/>
      <c r="AR66" s="221"/>
      <c r="AS66" s="210"/>
      <c r="AT66" s="229"/>
      <c r="AU66" s="229"/>
      <c r="AV66" s="221"/>
      <c r="AW66" s="221"/>
      <c r="AX66" s="221"/>
      <c r="AY66" s="221"/>
      <c r="AZ66" s="179"/>
      <c r="BA66" s="179"/>
      <c r="BB66" s="179"/>
      <c r="BC66" s="179"/>
      <c r="BD66" s="179"/>
      <c r="BE66" s="235">
        <f t="shared" si="17"/>
        <v>15620.779999999999</v>
      </c>
      <c r="BF66" s="111"/>
      <c r="BG66" s="111"/>
      <c r="BH66" s="111"/>
    </row>
    <row r="67" spans="1:60" s="71" customFormat="1" ht="15.75" customHeight="1" x14ac:dyDescent="0.25">
      <c r="A67" s="13">
        <v>22</v>
      </c>
      <c r="B67" s="202"/>
      <c r="C67" s="165" t="s">
        <v>197</v>
      </c>
      <c r="D67" s="256">
        <v>2012</v>
      </c>
      <c r="E67" s="256">
        <v>3</v>
      </c>
      <c r="F67" s="256">
        <v>28</v>
      </c>
      <c r="G67" s="256"/>
      <c r="H67" s="257">
        <v>1588.6</v>
      </c>
      <c r="I67" s="257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28"/>
      <c r="U67" s="228"/>
      <c r="V67" s="228"/>
      <c r="W67" s="228"/>
      <c r="X67" s="228"/>
      <c r="Y67" s="228"/>
      <c r="Z67" s="228"/>
      <c r="AA67" s="228"/>
      <c r="AB67" s="228">
        <v>21084</v>
      </c>
      <c r="AC67" s="228">
        <v>24735.8</v>
      </c>
      <c r="AD67" s="220">
        <f t="shared" si="11"/>
        <v>36144</v>
      </c>
      <c r="AE67" s="220"/>
      <c r="AF67" s="220">
        <f t="shared" si="12"/>
        <v>15060</v>
      </c>
      <c r="AG67" s="220">
        <f t="shared" si="13"/>
        <v>14369.786525442236</v>
      </c>
      <c r="AH67" s="751">
        <f t="shared" si="14"/>
        <v>36144</v>
      </c>
      <c r="AI67" s="751">
        <f t="shared" si="15"/>
        <v>39105.586525442239</v>
      </c>
      <c r="AJ67" s="747">
        <f t="shared" si="16"/>
        <v>4940.82</v>
      </c>
      <c r="AK67" s="229"/>
      <c r="AL67" s="221"/>
      <c r="AM67" s="221"/>
      <c r="AN67" s="221"/>
      <c r="AO67" s="221">
        <v>3085.78</v>
      </c>
      <c r="AP67" s="221"/>
      <c r="AQ67" s="221">
        <v>1855.04</v>
      </c>
      <c r="AR67" s="221"/>
      <c r="AS67" s="210"/>
      <c r="AT67" s="229"/>
      <c r="AU67" s="229"/>
      <c r="AV67" s="221"/>
      <c r="AW67" s="221"/>
      <c r="AX67" s="221"/>
      <c r="AY67" s="221"/>
      <c r="AZ67" s="179"/>
      <c r="BA67" s="179"/>
      <c r="BB67" s="179"/>
      <c r="BC67" s="179"/>
      <c r="BD67" s="179"/>
      <c r="BE67" s="235">
        <f t="shared" si="17"/>
        <v>31203.18</v>
      </c>
      <c r="BF67" s="111"/>
      <c r="BG67" s="111"/>
      <c r="BH67" s="111"/>
    </row>
    <row r="68" spans="1:60" s="71" customFormat="1" ht="15.75" customHeight="1" x14ac:dyDescent="0.25">
      <c r="A68" s="13">
        <v>23</v>
      </c>
      <c r="B68" s="202"/>
      <c r="C68" s="165" t="s">
        <v>205</v>
      </c>
      <c r="D68" s="251"/>
      <c r="E68" s="251">
        <v>2</v>
      </c>
      <c r="F68" s="251"/>
      <c r="G68" s="251"/>
      <c r="H68" s="246">
        <v>586.1</v>
      </c>
      <c r="I68" s="246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28"/>
      <c r="U68" s="228"/>
      <c r="V68" s="228"/>
      <c r="W68" s="228"/>
      <c r="X68" s="228"/>
      <c r="Y68" s="228"/>
      <c r="Z68" s="228"/>
      <c r="AA68" s="228"/>
      <c r="AB68" s="228">
        <v>7925.4</v>
      </c>
      <c r="AC68" s="228">
        <v>9730.9</v>
      </c>
      <c r="AD68" s="220">
        <f t="shared" si="11"/>
        <v>13586.400000000001</v>
      </c>
      <c r="AE68" s="220"/>
      <c r="AF68" s="220">
        <f t="shared" si="12"/>
        <v>5661.0000000000018</v>
      </c>
      <c r="AG68" s="220">
        <f t="shared" si="13"/>
        <v>5800.0530287070578</v>
      </c>
      <c r="AH68" s="751">
        <f t="shared" si="14"/>
        <v>13586.400000000001</v>
      </c>
      <c r="AI68" s="751">
        <f t="shared" si="15"/>
        <v>15530.953028707057</v>
      </c>
      <c r="AJ68" s="747">
        <f t="shared" si="16"/>
        <v>1252</v>
      </c>
      <c r="AK68" s="229"/>
      <c r="AL68" s="221"/>
      <c r="AM68" s="221"/>
      <c r="AN68" s="221">
        <v>1252</v>
      </c>
      <c r="AO68" s="221"/>
      <c r="AP68" s="221"/>
      <c r="AQ68" s="221"/>
      <c r="AR68" s="221"/>
      <c r="AS68" s="210"/>
      <c r="AT68" s="229"/>
      <c r="AU68" s="229"/>
      <c r="AV68" s="221"/>
      <c r="AW68" s="221"/>
      <c r="AX68" s="221"/>
      <c r="AY68" s="221"/>
      <c r="AZ68" s="179"/>
      <c r="BA68" s="179"/>
      <c r="BB68" s="179"/>
      <c r="BC68" s="179"/>
      <c r="BD68" s="179"/>
      <c r="BE68" s="235">
        <f t="shared" si="17"/>
        <v>12334.400000000001</v>
      </c>
      <c r="BF68" s="111"/>
      <c r="BG68" s="111"/>
      <c r="BH68" s="111"/>
    </row>
    <row r="69" spans="1:60" s="71" customFormat="1" ht="15.75" customHeight="1" x14ac:dyDescent="0.25">
      <c r="A69" s="13">
        <v>24</v>
      </c>
      <c r="B69" s="205">
        <v>42648</v>
      </c>
      <c r="C69" s="165" t="s">
        <v>210</v>
      </c>
      <c r="D69" s="256"/>
      <c r="E69" s="256">
        <v>3</v>
      </c>
      <c r="F69" s="256"/>
      <c r="G69" s="256"/>
      <c r="H69" s="257">
        <v>1372.13</v>
      </c>
      <c r="I69" s="257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28"/>
      <c r="U69" s="228"/>
      <c r="V69" s="228"/>
      <c r="W69" s="228"/>
      <c r="X69" s="228"/>
      <c r="Y69" s="228"/>
      <c r="Z69" s="228"/>
      <c r="AA69" s="228"/>
      <c r="AB69" s="228">
        <v>23554.67</v>
      </c>
      <c r="AC69" s="228">
        <v>22053.49</v>
      </c>
      <c r="AD69" s="220">
        <f t="shared" si="11"/>
        <v>40379.434285714284</v>
      </c>
      <c r="AE69" s="220"/>
      <c r="AF69" s="220">
        <f t="shared" si="12"/>
        <v>16824.764285714286</v>
      </c>
      <c r="AG69" s="220">
        <f t="shared" si="13"/>
        <v>13053.169698641286</v>
      </c>
      <c r="AH69" s="751">
        <f t="shared" si="14"/>
        <v>40379.434285714284</v>
      </c>
      <c r="AI69" s="751">
        <f t="shared" si="15"/>
        <v>35106.659698641291</v>
      </c>
      <c r="AJ69" s="747">
        <f t="shared" si="16"/>
        <v>0</v>
      </c>
      <c r="AK69" s="229"/>
      <c r="AL69" s="221"/>
      <c r="AM69" s="221"/>
      <c r="AN69" s="221"/>
      <c r="AO69" s="221"/>
      <c r="AP69" s="221"/>
      <c r="AQ69" s="221"/>
      <c r="AR69" s="221"/>
      <c r="AS69" s="210"/>
      <c r="AT69" s="229"/>
      <c r="AU69" s="229"/>
      <c r="AV69" s="221"/>
      <c r="AW69" s="221"/>
      <c r="AX69" s="221"/>
      <c r="AY69" s="221"/>
      <c r="AZ69" s="179"/>
      <c r="BA69" s="179"/>
      <c r="BB69" s="179"/>
      <c r="BC69" s="179"/>
      <c r="BD69" s="179"/>
      <c r="BE69" s="235">
        <f t="shared" si="17"/>
        <v>40379.434285714284</v>
      </c>
      <c r="BF69" s="111"/>
      <c r="BG69" s="111"/>
      <c r="BH69" s="111"/>
    </row>
    <row r="70" spans="1:60" s="71" customFormat="1" ht="15" customHeight="1" x14ac:dyDescent="0.25">
      <c r="A70" s="13"/>
      <c r="B70" s="13"/>
      <c r="C70" s="156" t="s">
        <v>183</v>
      </c>
      <c r="D70" s="258"/>
      <c r="E70" s="258"/>
      <c r="F70" s="406">
        <f>SUM(F46:F69)</f>
        <v>496</v>
      </c>
      <c r="G70" s="406">
        <f>SUM(G46:G69)</f>
        <v>1278</v>
      </c>
      <c r="H70" s="600">
        <f>SUM(H46:H69)</f>
        <v>27715.26</v>
      </c>
      <c r="I70" s="600">
        <f>SUM(I46:I69)</f>
        <v>2501.9800000000005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30"/>
      <c r="U70" s="230"/>
      <c r="V70" s="230"/>
      <c r="W70" s="230"/>
      <c r="X70" s="230"/>
      <c r="Y70" s="230"/>
      <c r="Z70" s="230"/>
      <c r="AA70" s="230"/>
      <c r="AB70" s="601">
        <f>SUM(AB46:AB69)</f>
        <v>576816.14000000013</v>
      </c>
      <c r="AC70" s="601">
        <f>SUM(AC46:AC69)</f>
        <v>625436.21</v>
      </c>
      <c r="AD70" s="601">
        <f>SUM(AD46:AD66)</f>
        <v>898717.83428571408</v>
      </c>
      <c r="AE70" s="601">
        <f>SUM(AE46:AE66)</f>
        <v>0</v>
      </c>
      <c r="AF70" s="601">
        <f>SUM(AF46:AF69)</f>
        <v>412011.52857142867</v>
      </c>
      <c r="AG70" s="601">
        <f>SUM(AG46:AG69)</f>
        <v>371318.83205331524</v>
      </c>
      <c r="AH70" s="601">
        <f>SUM(AH46:AH66)</f>
        <v>898717.83428571408</v>
      </c>
      <c r="AI70" s="601">
        <f>SUM(AI46:AI69)</f>
        <v>996755.04205331521</v>
      </c>
      <c r="AJ70" s="749">
        <f t="shared" si="16"/>
        <v>683173.29999999993</v>
      </c>
      <c r="AK70" s="601">
        <f>SUM(AK46:AK69)</f>
        <v>66000</v>
      </c>
      <c r="AL70" s="601">
        <f>SUM(AL46:AL69)</f>
        <v>368388</v>
      </c>
      <c r="AM70" s="601">
        <f t="shared" ref="AM70:AZ70" si="18">SUM(AM46:AM69)</f>
        <v>35535.93</v>
      </c>
      <c r="AN70" s="601">
        <f t="shared" si="18"/>
        <v>4561.1100000000006</v>
      </c>
      <c r="AO70" s="601">
        <f t="shared" si="18"/>
        <v>10455.6</v>
      </c>
      <c r="AP70" s="601">
        <f t="shared" si="18"/>
        <v>20085.07</v>
      </c>
      <c r="AQ70" s="601">
        <f t="shared" si="18"/>
        <v>1855.04</v>
      </c>
      <c r="AR70" s="601">
        <f t="shared" si="18"/>
        <v>56742.23</v>
      </c>
      <c r="AS70" s="601">
        <f t="shared" si="18"/>
        <v>1688.9</v>
      </c>
      <c r="AT70" s="601">
        <f t="shared" si="18"/>
        <v>1794.5</v>
      </c>
      <c r="AU70" s="601">
        <f t="shared" si="18"/>
        <v>11831.6</v>
      </c>
      <c r="AV70" s="601">
        <f t="shared" si="18"/>
        <v>2372.64</v>
      </c>
      <c r="AW70" s="601">
        <f t="shared" si="18"/>
        <v>21027</v>
      </c>
      <c r="AX70" s="601">
        <f t="shared" si="18"/>
        <v>37304.33</v>
      </c>
      <c r="AY70" s="601">
        <f t="shared" si="18"/>
        <v>11043.77</v>
      </c>
      <c r="AZ70" s="601">
        <f t="shared" si="18"/>
        <v>1893</v>
      </c>
      <c r="BA70" s="601">
        <f>SUM(BA46:BA69)</f>
        <v>18481.48</v>
      </c>
      <c r="BB70" s="601"/>
      <c r="BC70" s="601">
        <f>SUM(BC46:BC69)</f>
        <v>11268</v>
      </c>
      <c r="BD70" s="601">
        <f>SUM(BD46:BD69)</f>
        <v>845.1</v>
      </c>
      <c r="BE70" s="601">
        <f>SUM(BE46:BE69)</f>
        <v>305654.36857142852</v>
      </c>
      <c r="BF70" s="111"/>
      <c r="BG70" s="111"/>
      <c r="BH70" s="111"/>
    </row>
    <row r="71" spans="1:60" s="71" customFormat="1" ht="15" customHeight="1" x14ac:dyDescent="0.25">
      <c r="A71" s="13"/>
      <c r="B71" s="13"/>
      <c r="C71" s="156"/>
      <c r="D71" s="258"/>
      <c r="E71" s="258"/>
      <c r="F71" s="259"/>
      <c r="G71" s="406"/>
      <c r="H71" s="466"/>
      <c r="I71" s="466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 t="s">
        <v>128</v>
      </c>
      <c r="AE71" s="90"/>
      <c r="AF71" s="90" t="s">
        <v>128</v>
      </c>
      <c r="AG71" s="90"/>
      <c r="AH71" s="90"/>
      <c r="AI71" s="90"/>
      <c r="AJ71" s="157"/>
      <c r="AK71" s="158"/>
      <c r="AL71" s="159"/>
      <c r="AM71" s="159"/>
      <c r="AN71" s="159"/>
      <c r="AO71" s="159"/>
      <c r="AP71" s="160"/>
      <c r="AQ71" s="160"/>
      <c r="AR71" s="160"/>
      <c r="AS71" s="158"/>
      <c r="AT71" s="158"/>
      <c r="AU71" s="158"/>
      <c r="AV71" s="160"/>
      <c r="AW71" s="160"/>
      <c r="AX71" s="160"/>
      <c r="AY71" s="160"/>
      <c r="AZ71" s="160"/>
      <c r="BA71" s="160"/>
      <c r="BB71" s="734"/>
      <c r="BC71" s="617"/>
      <c r="BD71" s="617"/>
      <c r="BE71" s="617"/>
      <c r="BF71" s="111"/>
      <c r="BG71" s="111"/>
      <c r="BH71" s="111"/>
    </row>
    <row r="72" spans="1:60" s="71" customFormat="1" ht="14.25" customHeight="1" x14ac:dyDescent="0.25">
      <c r="A72" s="13"/>
      <c r="B72" s="13"/>
      <c r="C72" s="156"/>
      <c r="D72" s="258"/>
      <c r="E72" s="258"/>
      <c r="F72" s="259"/>
      <c r="G72" s="259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157"/>
      <c r="AK72" s="158"/>
      <c r="AL72" s="159"/>
      <c r="AM72" s="159"/>
      <c r="AN72" s="159"/>
      <c r="AO72" s="159"/>
      <c r="AP72" s="160"/>
      <c r="AQ72" s="160"/>
      <c r="AR72" s="160"/>
      <c r="AS72" s="158"/>
      <c r="AT72" s="158"/>
      <c r="AU72" s="158"/>
      <c r="AV72" s="160"/>
      <c r="AW72" s="160"/>
      <c r="AX72" s="160"/>
      <c r="AY72" s="160"/>
      <c r="AZ72" s="160"/>
      <c r="BA72" s="160"/>
      <c r="BB72" s="734"/>
      <c r="BC72" s="617"/>
      <c r="BD72" s="617"/>
      <c r="BE72" s="617"/>
      <c r="BF72" s="111"/>
      <c r="BG72" s="111"/>
      <c r="BH72" s="111"/>
    </row>
    <row r="73" spans="1:60" s="71" customFormat="1" ht="15.75" customHeight="1" x14ac:dyDescent="0.25">
      <c r="A73" s="132"/>
      <c r="B73" s="132"/>
      <c r="C73" s="132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11"/>
      <c r="AZ73" s="111"/>
      <c r="BA73" s="111"/>
    </row>
    <row r="74" spans="1:60" x14ac:dyDescent="0.25">
      <c r="A74" s="14"/>
      <c r="B74" s="14"/>
      <c r="C74" s="14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9"/>
      <c r="AY74" s="111"/>
      <c r="AZ74" s="111"/>
      <c r="BA74" s="111"/>
    </row>
    <row r="75" spans="1:60" ht="15.75" x14ac:dyDescent="0.25">
      <c r="A75" s="10"/>
      <c r="B75" s="10"/>
      <c r="C75" s="106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268"/>
      <c r="R75" s="268"/>
      <c r="S75" s="268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618"/>
      <c r="AI75" s="618"/>
      <c r="AJ75" s="618"/>
      <c r="AK75" s="618"/>
      <c r="AY75" s="111"/>
      <c r="AZ75" s="111"/>
      <c r="BA75" s="111"/>
    </row>
    <row r="76" spans="1:60" ht="18" x14ac:dyDescent="0.25">
      <c r="A76" s="10"/>
      <c r="B76" s="10"/>
      <c r="C76" s="12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619"/>
      <c r="AI76" s="619"/>
      <c r="AJ76" s="619"/>
      <c r="AK76" s="619"/>
      <c r="AY76" s="111"/>
      <c r="AZ76" s="111"/>
      <c r="BA76" s="111"/>
    </row>
    <row r="77" spans="1:60" ht="29.25" customHeight="1" x14ac:dyDescent="0.25">
      <c r="A77" s="915" t="s">
        <v>0</v>
      </c>
      <c r="B77" s="434"/>
      <c r="C77" s="915"/>
      <c r="D77" s="966"/>
      <c r="E77" s="966"/>
      <c r="F77" s="966"/>
      <c r="G77" s="966"/>
      <c r="H77" s="966"/>
      <c r="I77" s="967"/>
      <c r="J77" s="435"/>
      <c r="K77" s="435"/>
      <c r="L77" s="435"/>
      <c r="M77" s="435"/>
      <c r="N77" s="435"/>
      <c r="O77" s="435"/>
      <c r="P77" s="435"/>
      <c r="Q77" s="435"/>
      <c r="R77" s="261"/>
      <c r="S77" s="261"/>
      <c r="T77" s="508"/>
      <c r="U77" s="508"/>
      <c r="V77" s="508"/>
      <c r="W77" s="508"/>
      <c r="X77" s="508"/>
      <c r="Y77" s="508"/>
      <c r="Z77" s="508"/>
      <c r="AA77" s="508"/>
      <c r="AB77" s="508"/>
      <c r="AC77" s="508"/>
      <c r="AD77" s="508"/>
      <c r="AE77" s="508"/>
      <c r="AF77" s="508"/>
      <c r="AG77" s="508"/>
      <c r="AH77" s="619"/>
      <c r="AI77" s="619"/>
      <c r="AJ77" s="619"/>
      <c r="AK77" s="619"/>
      <c r="AL77" s="508"/>
      <c r="AM77" s="508"/>
      <c r="AN77" s="508"/>
      <c r="AO77" s="508"/>
      <c r="AP77" s="508"/>
      <c r="AQ77" s="508"/>
      <c r="AR77" s="508"/>
      <c r="AS77" s="508"/>
      <c r="AT77" s="508"/>
      <c r="AU77" s="508"/>
      <c r="AV77" s="508"/>
      <c r="AW77" s="508"/>
      <c r="AX77" s="508"/>
      <c r="AY77" s="508"/>
      <c r="AZ77" s="508"/>
      <c r="BA77" s="508"/>
    </row>
    <row r="78" spans="1:60" ht="24" customHeight="1" x14ac:dyDescent="0.25">
      <c r="A78" s="915"/>
      <c r="B78" s="434"/>
      <c r="C78" s="915"/>
      <c r="D78" s="966"/>
      <c r="E78" s="966"/>
      <c r="F78" s="966"/>
      <c r="G78" s="966"/>
      <c r="H78" s="966"/>
      <c r="I78" s="968"/>
      <c r="J78" s="436"/>
      <c r="K78" s="436"/>
      <c r="L78" s="436"/>
      <c r="M78" s="436"/>
      <c r="N78" s="436"/>
      <c r="O78" s="436"/>
      <c r="P78" s="436"/>
      <c r="Q78" s="436"/>
      <c r="R78" s="262"/>
      <c r="S78" s="262"/>
      <c r="T78" s="508"/>
      <c r="U78" s="508"/>
      <c r="V78" s="508"/>
      <c r="W78" s="508"/>
      <c r="X78" s="508"/>
      <c r="Y78" s="508"/>
      <c r="Z78" s="508"/>
      <c r="AA78" s="508"/>
      <c r="AB78" s="508"/>
      <c r="AC78" s="508"/>
      <c r="AD78" s="508"/>
      <c r="AE78" s="508"/>
      <c r="AF78" s="508"/>
      <c r="AG78" s="508"/>
      <c r="AH78" s="619"/>
      <c r="AI78" s="619"/>
      <c r="AJ78" s="619"/>
      <c r="AK78" s="619"/>
      <c r="AL78" s="508"/>
      <c r="AM78" s="508"/>
      <c r="AN78" s="508"/>
      <c r="AO78" s="508"/>
      <c r="AP78" s="508"/>
      <c r="AQ78" s="508"/>
      <c r="AR78" s="508"/>
      <c r="AS78" s="508"/>
      <c r="AT78" s="508"/>
      <c r="AU78" s="508"/>
      <c r="AV78" s="508"/>
      <c r="AW78" s="508"/>
      <c r="AX78" s="508"/>
      <c r="AY78" s="508"/>
      <c r="AZ78" s="508"/>
      <c r="BA78" s="508"/>
    </row>
    <row r="79" spans="1:60" ht="15" customHeight="1" x14ac:dyDescent="0.25">
      <c r="A79" s="61">
        <v>1</v>
      </c>
      <c r="B79" s="61"/>
      <c r="C79" s="34"/>
      <c r="D79" s="270"/>
      <c r="E79" s="270"/>
      <c r="F79" s="270"/>
      <c r="G79" s="321"/>
      <c r="H79" s="271"/>
      <c r="I79" s="272"/>
      <c r="J79" s="272"/>
      <c r="K79" s="272"/>
      <c r="L79" s="272"/>
      <c r="M79" s="272"/>
      <c r="N79" s="272"/>
      <c r="O79" s="272"/>
      <c r="P79" s="272"/>
      <c r="Q79" s="272"/>
      <c r="R79" s="279"/>
      <c r="S79" s="279"/>
      <c r="T79" s="508"/>
      <c r="U79" s="508"/>
      <c r="V79" s="508"/>
      <c r="W79" s="508"/>
      <c r="X79" s="508"/>
      <c r="Y79" s="508"/>
      <c r="Z79" s="508"/>
      <c r="AA79" s="508"/>
      <c r="AB79" s="508"/>
      <c r="AC79" s="508"/>
      <c r="AD79" s="508"/>
      <c r="AE79" s="508"/>
      <c r="AF79" s="508"/>
      <c r="AG79" s="508"/>
      <c r="AH79" s="619"/>
      <c r="AI79" s="619"/>
      <c r="AJ79" s="619"/>
      <c r="AK79" s="619"/>
      <c r="AL79" s="508"/>
      <c r="AM79" s="508"/>
      <c r="AN79" s="508"/>
      <c r="AO79" s="508"/>
      <c r="AP79" s="508"/>
      <c r="AQ79" s="508"/>
      <c r="AR79" s="508"/>
      <c r="AS79" s="508"/>
      <c r="AT79" s="508"/>
      <c r="AU79" s="508"/>
      <c r="AV79" s="508"/>
      <c r="AW79" s="508"/>
      <c r="AX79" s="508"/>
      <c r="AY79" s="508"/>
      <c r="AZ79" s="508"/>
      <c r="BA79" s="508"/>
    </row>
    <row r="80" spans="1:60" ht="15" customHeight="1" x14ac:dyDescent="0.25">
      <c r="A80" s="13">
        <v>2</v>
      </c>
      <c r="B80" s="13"/>
      <c r="C80" s="34"/>
      <c r="D80" s="273"/>
      <c r="E80" s="273"/>
      <c r="F80" s="273"/>
      <c r="G80" s="321"/>
      <c r="H80" s="274"/>
      <c r="I80" s="275"/>
      <c r="J80" s="275"/>
      <c r="K80" s="275"/>
      <c r="L80" s="275"/>
      <c r="M80" s="275"/>
      <c r="N80" s="275"/>
      <c r="O80" s="275"/>
      <c r="P80" s="275"/>
      <c r="Q80" s="275"/>
      <c r="R80" s="280"/>
      <c r="S80" s="280"/>
      <c r="T80" s="508"/>
      <c r="U80" s="508"/>
      <c r="V80" s="508"/>
      <c r="W80" s="508"/>
      <c r="X80" s="508"/>
      <c r="Y80" s="508"/>
      <c r="Z80" s="508"/>
      <c r="AA80" s="508"/>
      <c r="AB80" s="508"/>
      <c r="AC80" s="508"/>
      <c r="AD80" s="508"/>
      <c r="AE80" s="508"/>
      <c r="AF80" s="508"/>
      <c r="AG80" s="508"/>
      <c r="AH80" s="619"/>
      <c r="AI80" s="619"/>
      <c r="AJ80" s="619"/>
      <c r="AK80" s="619"/>
      <c r="AL80" s="508"/>
      <c r="AM80" s="508"/>
      <c r="AN80" s="508"/>
      <c r="AO80" s="508"/>
      <c r="AP80" s="508"/>
      <c r="AQ80" s="508"/>
      <c r="AR80" s="508"/>
      <c r="AS80" s="508"/>
      <c r="AT80" s="508"/>
      <c r="AU80" s="508"/>
      <c r="AV80" s="508"/>
      <c r="AW80" s="508"/>
      <c r="AX80" s="508"/>
      <c r="AY80" s="508"/>
      <c r="AZ80" s="508"/>
      <c r="BA80" s="508"/>
    </row>
    <row r="81" spans="1:53" ht="15" customHeight="1" x14ac:dyDescent="0.25">
      <c r="A81" s="13">
        <v>3</v>
      </c>
      <c r="B81" s="13"/>
      <c r="C81" s="34"/>
      <c r="D81" s="273"/>
      <c r="E81" s="273"/>
      <c r="F81" s="273"/>
      <c r="G81" s="363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80"/>
      <c r="S81" s="280"/>
      <c r="T81" s="508"/>
      <c r="U81" s="508"/>
      <c r="V81" s="508"/>
      <c r="W81" s="508"/>
      <c r="X81" s="508"/>
      <c r="Y81" s="508"/>
      <c r="Z81" s="508"/>
      <c r="AA81" s="508"/>
      <c r="AB81" s="508"/>
      <c r="AC81" s="508"/>
      <c r="AD81" s="508"/>
      <c r="AE81" s="508"/>
      <c r="AF81" s="508"/>
      <c r="AG81" s="508"/>
      <c r="AH81" s="619"/>
      <c r="AI81" s="619"/>
      <c r="AJ81" s="619"/>
      <c r="AK81" s="619"/>
      <c r="AL81" s="508"/>
      <c r="AM81" s="508"/>
      <c r="AN81" s="508"/>
      <c r="AO81" s="508"/>
      <c r="AP81" s="508"/>
      <c r="AQ81" s="508"/>
      <c r="AR81" s="508"/>
      <c r="AS81" s="508"/>
      <c r="AT81" s="508"/>
      <c r="AU81" s="508"/>
      <c r="AV81" s="508"/>
      <c r="AW81" s="508"/>
      <c r="AX81" s="508"/>
      <c r="AY81" s="508"/>
      <c r="AZ81" s="508"/>
      <c r="BA81" s="508"/>
    </row>
    <row r="82" spans="1:53" ht="15" customHeight="1" x14ac:dyDescent="0.25">
      <c r="A82" s="13">
        <v>4</v>
      </c>
      <c r="B82" s="13"/>
      <c r="C82" s="34"/>
      <c r="D82" s="273"/>
      <c r="E82" s="273"/>
      <c r="F82" s="273"/>
      <c r="G82" s="370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80"/>
      <c r="S82" s="280"/>
      <c r="T82" s="508"/>
      <c r="U82" s="508"/>
      <c r="V82" s="508"/>
      <c r="W82" s="508"/>
      <c r="X82" s="508"/>
      <c r="Y82" s="508"/>
      <c r="Z82" s="508"/>
      <c r="AA82" s="508"/>
      <c r="AB82" s="508"/>
      <c r="AC82" s="508"/>
      <c r="AD82" s="508"/>
      <c r="AE82" s="508"/>
      <c r="AF82" s="508"/>
      <c r="AG82" s="508"/>
      <c r="AH82" s="619"/>
      <c r="AI82" s="619"/>
      <c r="AJ82" s="619"/>
      <c r="AK82" s="619"/>
      <c r="AL82" s="508"/>
      <c r="AM82" s="508"/>
      <c r="AN82" s="508"/>
      <c r="AO82" s="508"/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</row>
    <row r="83" spans="1:53" ht="15" customHeight="1" x14ac:dyDescent="0.25">
      <c r="A83" s="13">
        <v>5</v>
      </c>
      <c r="B83" s="13"/>
      <c r="C83" s="34"/>
      <c r="D83" s="273"/>
      <c r="E83" s="273"/>
      <c r="F83" s="273"/>
      <c r="G83" s="363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80"/>
      <c r="S83" s="280"/>
      <c r="T83" s="508"/>
      <c r="U83" s="508"/>
      <c r="V83" s="508"/>
      <c r="W83" s="508"/>
      <c r="X83" s="508"/>
      <c r="Y83" s="508"/>
      <c r="Z83" s="508"/>
      <c r="AA83" s="508"/>
      <c r="AB83" s="508"/>
      <c r="AC83" s="508"/>
      <c r="AD83" s="508"/>
      <c r="AE83" s="508"/>
      <c r="AF83" s="508"/>
      <c r="AG83" s="508"/>
      <c r="AH83" s="619"/>
      <c r="AI83" s="619"/>
      <c r="AJ83" s="619"/>
      <c r="AK83" s="619"/>
      <c r="AL83" s="508"/>
      <c r="AM83" s="508"/>
      <c r="AN83" s="508"/>
      <c r="AO83" s="508"/>
      <c r="AP83" s="508"/>
      <c r="AQ83" s="508"/>
      <c r="AR83" s="508"/>
      <c r="AS83" s="508"/>
      <c r="AT83" s="508"/>
      <c r="AU83" s="508"/>
      <c r="AV83" s="508"/>
      <c r="AW83" s="508"/>
      <c r="AX83" s="508"/>
      <c r="AY83" s="508"/>
      <c r="AZ83" s="508"/>
      <c r="BA83" s="508"/>
    </row>
    <row r="84" spans="1:53" ht="15" customHeight="1" x14ac:dyDescent="0.25">
      <c r="A84" s="13">
        <v>6</v>
      </c>
      <c r="B84" s="13"/>
      <c r="C84" s="34"/>
      <c r="D84" s="273"/>
      <c r="E84" s="273"/>
      <c r="F84" s="273"/>
      <c r="G84" s="370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80"/>
      <c r="S84" s="280"/>
      <c r="T84" s="508"/>
      <c r="U84" s="508"/>
      <c r="V84" s="508"/>
      <c r="W84" s="508"/>
      <c r="X84" s="508"/>
      <c r="Y84" s="508"/>
      <c r="Z84" s="508"/>
      <c r="AA84" s="508"/>
      <c r="AB84" s="508"/>
      <c r="AC84" s="508"/>
      <c r="AD84" s="508"/>
      <c r="AE84" s="508"/>
      <c r="AF84" s="508"/>
      <c r="AG84" s="508"/>
      <c r="AH84" s="619"/>
      <c r="AI84" s="619"/>
      <c r="AJ84" s="619"/>
      <c r="AK84" s="619"/>
      <c r="AL84" s="508"/>
      <c r="AM84" s="508"/>
      <c r="AN84" s="508"/>
      <c r="AO84" s="508"/>
      <c r="AP84" s="508"/>
      <c r="AQ84" s="508"/>
      <c r="AR84" s="508"/>
      <c r="AS84" s="508"/>
      <c r="AT84" s="508"/>
      <c r="AU84" s="508"/>
      <c r="AV84" s="508"/>
      <c r="AW84" s="508"/>
      <c r="AX84" s="508"/>
      <c r="AY84" s="508"/>
      <c r="AZ84" s="508"/>
      <c r="BA84" s="508"/>
    </row>
    <row r="85" spans="1:53" ht="15" customHeight="1" x14ac:dyDescent="0.25">
      <c r="A85" s="13">
        <v>7</v>
      </c>
      <c r="B85" s="13"/>
      <c r="C85" s="34"/>
      <c r="D85" s="273"/>
      <c r="E85" s="273"/>
      <c r="F85" s="273"/>
      <c r="G85" s="363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80"/>
      <c r="S85" s="280"/>
      <c r="T85" s="508"/>
      <c r="U85" s="508"/>
      <c r="V85" s="508"/>
      <c r="W85" s="508"/>
      <c r="X85" s="508"/>
      <c r="Y85" s="508"/>
      <c r="Z85" s="508"/>
      <c r="AA85" s="508"/>
      <c r="AB85" s="508"/>
      <c r="AC85" s="508"/>
      <c r="AD85" s="508"/>
      <c r="AE85" s="508"/>
      <c r="AF85" s="508"/>
      <c r="AG85" s="508"/>
      <c r="AH85" s="619"/>
      <c r="AI85" s="619"/>
      <c r="AJ85" s="619"/>
      <c r="AK85" s="619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15" customHeight="1" x14ac:dyDescent="0.25">
      <c r="A86" s="13">
        <v>8</v>
      </c>
      <c r="B86" s="13"/>
      <c r="C86" s="34"/>
      <c r="D86" s="273"/>
      <c r="E86" s="273"/>
      <c r="F86" s="273"/>
      <c r="G86" s="370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80"/>
      <c r="S86" s="280"/>
      <c r="T86" s="508"/>
      <c r="U86" s="508"/>
      <c r="V86" s="508"/>
      <c r="W86" s="508"/>
      <c r="X86" s="508"/>
      <c r="Y86" s="508"/>
      <c r="Z86" s="508"/>
      <c r="AA86" s="508"/>
      <c r="AB86" s="508"/>
      <c r="AC86" s="508"/>
      <c r="AD86" s="508"/>
      <c r="AE86" s="508"/>
      <c r="AF86" s="508"/>
      <c r="AG86" s="508"/>
      <c r="AH86" s="619"/>
      <c r="AI86" s="619"/>
      <c r="AJ86" s="619"/>
      <c r="AK86" s="619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15" customHeight="1" x14ac:dyDescent="0.25">
      <c r="A87" s="13">
        <v>9</v>
      </c>
      <c r="B87" s="13"/>
      <c r="C87" s="34"/>
      <c r="D87" s="273"/>
      <c r="E87" s="273"/>
      <c r="F87" s="273"/>
      <c r="G87" s="363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80"/>
      <c r="S87" s="280"/>
      <c r="T87" s="508"/>
      <c r="U87" s="508"/>
      <c r="V87" s="508"/>
      <c r="W87" s="508"/>
      <c r="X87" s="508"/>
      <c r="Y87" s="508"/>
      <c r="Z87" s="508"/>
      <c r="AA87" s="508"/>
      <c r="AB87" s="508"/>
      <c r="AC87" s="508"/>
      <c r="AD87" s="508"/>
      <c r="AE87" s="508"/>
      <c r="AF87" s="508"/>
      <c r="AG87" s="508"/>
      <c r="AH87" s="619"/>
      <c r="AI87" s="619"/>
      <c r="AJ87" s="619"/>
      <c r="AK87" s="619"/>
      <c r="AL87" s="508"/>
      <c r="AM87" s="508"/>
      <c r="AN87" s="508"/>
      <c r="AO87" s="508"/>
      <c r="AP87" s="508"/>
      <c r="AQ87" s="508"/>
      <c r="AR87" s="508"/>
      <c r="AS87" s="508"/>
      <c r="AT87" s="508"/>
      <c r="AU87" s="508"/>
      <c r="AV87" s="508"/>
      <c r="AW87" s="508"/>
      <c r="AX87" s="508"/>
      <c r="AY87" s="508"/>
      <c r="AZ87" s="508"/>
      <c r="BA87" s="508"/>
    </row>
    <row r="88" spans="1:53" ht="15" customHeight="1" x14ac:dyDescent="0.25">
      <c r="A88" s="13">
        <v>10</v>
      </c>
      <c r="B88" s="13"/>
      <c r="C88" s="34"/>
      <c r="D88" s="273"/>
      <c r="E88" s="273"/>
      <c r="F88" s="273"/>
      <c r="G88" s="370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80"/>
      <c r="S88" s="280"/>
      <c r="T88" s="508"/>
      <c r="U88" s="508"/>
      <c r="V88" s="508"/>
      <c r="W88" s="508"/>
      <c r="X88" s="508"/>
      <c r="Y88" s="508"/>
      <c r="Z88" s="508"/>
      <c r="AA88" s="508"/>
      <c r="AB88" s="508"/>
      <c r="AC88" s="508"/>
      <c r="AD88" s="508"/>
      <c r="AE88" s="508"/>
      <c r="AF88" s="508"/>
      <c r="AG88" s="508"/>
      <c r="AH88" s="619"/>
      <c r="AI88" s="619"/>
      <c r="AJ88" s="619"/>
      <c r="AK88" s="619"/>
      <c r="AL88" s="508"/>
      <c r="AM88" s="508"/>
      <c r="AN88" s="508"/>
      <c r="AO88" s="508"/>
      <c r="AP88" s="508"/>
      <c r="AQ88" s="508"/>
      <c r="AR88" s="508"/>
      <c r="AS88" s="508"/>
      <c r="AT88" s="508"/>
      <c r="AU88" s="508"/>
      <c r="AV88" s="508"/>
      <c r="AW88" s="508"/>
      <c r="AX88" s="508"/>
      <c r="AY88" s="508"/>
      <c r="AZ88" s="508"/>
      <c r="BA88" s="508"/>
    </row>
    <row r="89" spans="1:53" ht="15" customHeight="1" x14ac:dyDescent="0.25">
      <c r="A89" s="13">
        <v>11</v>
      </c>
      <c r="B89" s="13"/>
      <c r="C89" s="34"/>
      <c r="D89" s="273"/>
      <c r="E89" s="273"/>
      <c r="F89" s="273"/>
      <c r="G89" s="363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80"/>
      <c r="S89" s="280"/>
      <c r="T89" s="508"/>
      <c r="U89" s="508"/>
      <c r="V89" s="508"/>
      <c r="W89" s="508"/>
      <c r="X89" s="508"/>
      <c r="Y89" s="508"/>
      <c r="Z89" s="508"/>
      <c r="AA89" s="508"/>
      <c r="AB89" s="508"/>
      <c r="AC89" s="508"/>
      <c r="AD89" s="508"/>
      <c r="AE89" s="508"/>
      <c r="AF89" s="508"/>
      <c r="AG89" s="508"/>
      <c r="AH89" s="619"/>
      <c r="AI89" s="619"/>
      <c r="AJ89" s="619"/>
      <c r="AK89" s="619"/>
      <c r="AL89" s="508"/>
      <c r="AM89" s="508"/>
      <c r="AN89" s="508"/>
      <c r="AO89" s="508"/>
      <c r="AP89" s="508"/>
      <c r="AQ89" s="508"/>
      <c r="AR89" s="508"/>
      <c r="AS89" s="508"/>
      <c r="AT89" s="508"/>
      <c r="AU89" s="508"/>
      <c r="AV89" s="508"/>
      <c r="AW89" s="508"/>
      <c r="AX89" s="508"/>
      <c r="AY89" s="508"/>
      <c r="AZ89" s="508"/>
      <c r="BA89" s="508"/>
    </row>
    <row r="90" spans="1:53" ht="15" customHeight="1" x14ac:dyDescent="0.25">
      <c r="A90" s="13">
        <v>12</v>
      </c>
      <c r="B90" s="13"/>
      <c r="C90" s="34"/>
      <c r="D90" s="273"/>
      <c r="E90" s="273"/>
      <c r="F90" s="273"/>
      <c r="G90" s="370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80"/>
      <c r="S90" s="280"/>
      <c r="T90" s="508"/>
      <c r="U90" s="508"/>
      <c r="V90" s="508"/>
      <c r="W90" s="508"/>
      <c r="X90" s="508"/>
      <c r="Y90" s="508"/>
      <c r="Z90" s="508"/>
      <c r="AA90" s="508"/>
      <c r="AB90" s="508"/>
      <c r="AC90" s="508"/>
      <c r="AD90" s="508"/>
      <c r="AE90" s="508"/>
      <c r="AF90" s="508"/>
      <c r="AG90" s="508"/>
      <c r="AH90" s="619"/>
      <c r="AI90" s="619"/>
      <c r="AJ90" s="619"/>
      <c r="AK90" s="619"/>
      <c r="AL90" s="508"/>
      <c r="AM90" s="508"/>
      <c r="AN90" s="508"/>
      <c r="AO90" s="508"/>
      <c r="AP90" s="508"/>
      <c r="AQ90" s="508"/>
      <c r="AR90" s="508"/>
      <c r="AS90" s="508"/>
      <c r="AT90" s="508"/>
      <c r="AU90" s="508"/>
      <c r="AV90" s="508"/>
      <c r="AW90" s="508"/>
      <c r="AX90" s="508"/>
      <c r="AY90" s="508"/>
      <c r="AZ90" s="508"/>
      <c r="BA90" s="508"/>
    </row>
    <row r="91" spans="1:53" ht="15" customHeight="1" x14ac:dyDescent="0.25">
      <c r="A91" s="13">
        <v>13</v>
      </c>
      <c r="B91" s="13"/>
      <c r="C91" s="35"/>
      <c r="D91" s="273"/>
      <c r="E91" s="273"/>
      <c r="F91" s="273"/>
      <c r="G91" s="363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80"/>
      <c r="S91" s="280"/>
      <c r="T91" s="508"/>
      <c r="U91" s="508"/>
      <c r="V91" s="508"/>
      <c r="W91" s="508"/>
      <c r="X91" s="508"/>
      <c r="Y91" s="508"/>
      <c r="Z91" s="508"/>
      <c r="AA91" s="508"/>
      <c r="AB91" s="508"/>
      <c r="AC91" s="508"/>
      <c r="AD91" s="508"/>
      <c r="AE91" s="508"/>
      <c r="AF91" s="508"/>
      <c r="AG91" s="508"/>
      <c r="AH91" s="619"/>
      <c r="AI91" s="619"/>
      <c r="AJ91" s="619"/>
      <c r="AK91" s="619"/>
      <c r="AL91" s="508"/>
      <c r="AM91" s="508"/>
      <c r="AN91" s="508"/>
      <c r="AO91" s="508"/>
      <c r="AP91" s="508"/>
      <c r="AQ91" s="508"/>
      <c r="AR91" s="508"/>
      <c r="AS91" s="508"/>
      <c r="AT91" s="508"/>
      <c r="AU91" s="508"/>
      <c r="AV91" s="508"/>
      <c r="AW91" s="508"/>
      <c r="AX91" s="508"/>
      <c r="AY91" s="508"/>
      <c r="AZ91" s="508"/>
      <c r="BA91" s="508"/>
    </row>
    <row r="92" spans="1:53" ht="15" customHeight="1" x14ac:dyDescent="0.25">
      <c r="A92" s="13">
        <v>14</v>
      </c>
      <c r="B92" s="13"/>
      <c r="C92" s="35"/>
      <c r="D92" s="273"/>
      <c r="E92" s="273"/>
      <c r="F92" s="273"/>
      <c r="G92" s="370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80"/>
      <c r="S92" s="280"/>
      <c r="T92" s="508"/>
      <c r="U92" s="508"/>
      <c r="V92" s="508"/>
      <c r="W92" s="508"/>
      <c r="X92" s="508"/>
      <c r="Y92" s="508"/>
      <c r="Z92" s="508"/>
      <c r="AA92" s="508"/>
      <c r="AB92" s="508"/>
      <c r="AC92" s="508"/>
      <c r="AD92" s="508"/>
      <c r="AE92" s="508"/>
      <c r="AF92" s="508"/>
      <c r="AG92" s="508"/>
      <c r="AH92" s="619"/>
      <c r="AI92" s="619"/>
      <c r="AJ92" s="619"/>
      <c r="AK92" s="619"/>
      <c r="AL92" s="508"/>
      <c r="AM92" s="508"/>
      <c r="AN92" s="508"/>
      <c r="AO92" s="508"/>
      <c r="AP92" s="508"/>
      <c r="AQ92" s="508"/>
      <c r="AR92" s="508"/>
      <c r="AS92" s="508"/>
      <c r="AT92" s="508"/>
      <c r="AU92" s="508"/>
      <c r="AV92" s="508"/>
      <c r="AW92" s="508"/>
      <c r="AX92" s="508"/>
      <c r="AY92" s="508"/>
      <c r="AZ92" s="508"/>
      <c r="BA92" s="508"/>
    </row>
    <row r="93" spans="1:53" ht="15" customHeight="1" x14ac:dyDescent="0.25">
      <c r="A93" s="13">
        <v>15</v>
      </c>
      <c r="B93" s="13"/>
      <c r="C93" s="35"/>
      <c r="D93" s="273"/>
      <c r="E93" s="273"/>
      <c r="F93" s="273"/>
      <c r="G93" s="363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80"/>
      <c r="S93" s="280"/>
      <c r="T93" s="508"/>
      <c r="U93" s="508"/>
      <c r="V93" s="508"/>
      <c r="W93" s="508"/>
      <c r="X93" s="508"/>
      <c r="Y93" s="508"/>
      <c r="Z93" s="508"/>
      <c r="AA93" s="508"/>
      <c r="AB93" s="508"/>
      <c r="AC93" s="508"/>
      <c r="AD93" s="508"/>
      <c r="AE93" s="508"/>
      <c r="AF93" s="508"/>
      <c r="AG93" s="508"/>
      <c r="AH93" s="619"/>
      <c r="AI93" s="619"/>
      <c r="AJ93" s="619"/>
      <c r="AK93" s="619"/>
      <c r="AL93" s="508"/>
      <c r="AM93" s="508"/>
      <c r="AN93" s="508"/>
      <c r="AO93" s="508"/>
      <c r="AP93" s="508"/>
      <c r="AQ93" s="508"/>
      <c r="AR93" s="508"/>
      <c r="AS93" s="508"/>
      <c r="AT93" s="508"/>
      <c r="AU93" s="508"/>
      <c r="AV93" s="508"/>
      <c r="AW93" s="508"/>
      <c r="AX93" s="508"/>
      <c r="AY93" s="508"/>
      <c r="AZ93" s="508"/>
      <c r="BA93" s="508"/>
    </row>
    <row r="94" spans="1:53" ht="15" customHeight="1" x14ac:dyDescent="0.25">
      <c r="A94" s="13">
        <v>16</v>
      </c>
      <c r="B94" s="13"/>
      <c r="C94" s="35"/>
      <c r="D94" s="273"/>
      <c r="E94" s="273"/>
      <c r="F94" s="273"/>
      <c r="G94" s="370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80"/>
      <c r="S94" s="280"/>
      <c r="T94" s="508"/>
      <c r="U94" s="508"/>
      <c r="V94" s="508"/>
      <c r="W94" s="508"/>
      <c r="X94" s="508"/>
      <c r="Y94" s="508"/>
      <c r="Z94" s="508"/>
      <c r="AA94" s="508"/>
      <c r="AB94" s="508"/>
      <c r="AC94" s="508"/>
      <c r="AD94" s="508"/>
      <c r="AE94" s="508"/>
      <c r="AF94" s="508"/>
      <c r="AG94" s="508"/>
      <c r="AH94" s="619"/>
      <c r="AI94" s="619"/>
      <c r="AJ94" s="619"/>
      <c r="AK94" s="619"/>
      <c r="AL94" s="508"/>
      <c r="AM94" s="508"/>
      <c r="AN94" s="508"/>
      <c r="AO94" s="508"/>
      <c r="AP94" s="508"/>
      <c r="AQ94" s="508"/>
      <c r="AR94" s="508"/>
      <c r="AS94" s="508"/>
      <c r="AT94" s="508"/>
      <c r="AU94" s="508"/>
      <c r="AV94" s="508"/>
      <c r="AW94" s="508"/>
      <c r="AX94" s="508"/>
      <c r="AY94" s="508"/>
      <c r="AZ94" s="508"/>
      <c r="BA94" s="508"/>
    </row>
    <row r="95" spans="1:53" ht="15" customHeight="1" x14ac:dyDescent="0.25">
      <c r="A95" s="13">
        <v>17</v>
      </c>
      <c r="B95" s="13"/>
      <c r="C95" s="37"/>
      <c r="D95" s="258"/>
      <c r="E95" s="258"/>
      <c r="F95" s="258"/>
      <c r="G95" s="258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81"/>
      <c r="S95" s="281"/>
      <c r="T95" s="508"/>
      <c r="U95" s="508"/>
      <c r="V95" s="508"/>
      <c r="W95" s="508"/>
      <c r="X95" s="508"/>
      <c r="Y95" s="508"/>
      <c r="Z95" s="508"/>
      <c r="AA95" s="508"/>
      <c r="AB95" s="508"/>
      <c r="AC95" s="508"/>
      <c r="AD95" s="508"/>
      <c r="AE95" s="508"/>
      <c r="AF95" s="508"/>
      <c r="AG95" s="508"/>
      <c r="AH95" s="619"/>
      <c r="AI95" s="619"/>
      <c r="AJ95" s="619"/>
      <c r="AK95" s="619"/>
      <c r="AL95" s="508"/>
      <c r="AM95" s="508"/>
      <c r="AN95" s="508"/>
      <c r="AO95" s="508"/>
      <c r="AP95" s="508"/>
      <c r="AQ95" s="508"/>
      <c r="AR95" s="508"/>
      <c r="AS95" s="508"/>
      <c r="AT95" s="508"/>
      <c r="AU95" s="508"/>
      <c r="AV95" s="508"/>
      <c r="AW95" s="508"/>
      <c r="AX95" s="508"/>
      <c r="AY95" s="508"/>
      <c r="AZ95" s="508"/>
      <c r="BA95" s="508"/>
    </row>
    <row r="96" spans="1:53" ht="15" customHeight="1" x14ac:dyDescent="0.25">
      <c r="A96" s="13">
        <v>18</v>
      </c>
      <c r="B96" s="13"/>
      <c r="C96" s="37"/>
      <c r="D96" s="258"/>
      <c r="E96" s="258"/>
      <c r="F96" s="258"/>
      <c r="G96" s="258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81"/>
      <c r="S96" s="281"/>
      <c r="T96" s="508"/>
      <c r="U96" s="508"/>
      <c r="V96" s="508"/>
      <c r="W96" s="508"/>
      <c r="X96" s="508"/>
      <c r="Y96" s="508"/>
      <c r="Z96" s="508"/>
      <c r="AA96" s="508"/>
      <c r="AB96" s="508"/>
      <c r="AC96" s="508"/>
      <c r="AD96" s="508"/>
      <c r="AE96" s="508"/>
      <c r="AF96" s="508"/>
      <c r="AG96" s="508"/>
      <c r="AH96" s="619"/>
      <c r="AI96" s="619"/>
      <c r="AJ96" s="619"/>
      <c r="AK96" s="619"/>
      <c r="AL96" s="508"/>
      <c r="AM96" s="508"/>
      <c r="AN96" s="508"/>
      <c r="AO96" s="508"/>
      <c r="AP96" s="508"/>
      <c r="AQ96" s="508"/>
      <c r="AR96" s="508"/>
      <c r="AS96" s="508"/>
      <c r="AT96" s="508"/>
      <c r="AU96" s="508"/>
      <c r="AV96" s="508"/>
      <c r="AW96" s="508"/>
      <c r="AX96" s="508"/>
      <c r="AY96" s="508"/>
      <c r="AZ96" s="508"/>
      <c r="BA96" s="508"/>
    </row>
    <row r="97" spans="1:53" ht="15" customHeight="1" x14ac:dyDescent="0.25">
      <c r="A97" s="98">
        <v>19</v>
      </c>
      <c r="B97" s="608">
        <v>42648</v>
      </c>
      <c r="C97" s="99"/>
      <c r="D97" s="277"/>
      <c r="E97" s="277"/>
      <c r="F97" s="277"/>
      <c r="G97" s="277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82"/>
      <c r="S97" s="282"/>
      <c r="T97" s="508"/>
      <c r="U97" s="508"/>
      <c r="V97" s="508"/>
      <c r="W97" s="508"/>
      <c r="X97" s="508"/>
      <c r="Y97" s="508"/>
      <c r="Z97" s="508"/>
      <c r="AA97" s="508"/>
      <c r="AB97" s="508"/>
      <c r="AC97" s="508"/>
      <c r="AD97" s="508"/>
      <c r="AE97" s="508"/>
      <c r="AF97" s="508"/>
      <c r="AG97" s="508"/>
      <c r="AH97" s="619"/>
      <c r="AI97" s="619"/>
      <c r="AJ97" s="619"/>
      <c r="AK97" s="619"/>
      <c r="AL97" s="508"/>
      <c r="AM97" s="508"/>
      <c r="AN97" s="508"/>
      <c r="AO97" s="508"/>
      <c r="AP97" s="508"/>
      <c r="AQ97" s="508"/>
      <c r="AR97" s="508"/>
      <c r="AS97" s="508"/>
      <c r="AT97" s="508"/>
      <c r="AU97" s="508"/>
      <c r="AV97" s="508"/>
      <c r="AW97" s="508"/>
      <c r="AX97" s="508"/>
      <c r="AY97" s="508"/>
      <c r="AZ97" s="508"/>
      <c r="BA97" s="508"/>
    </row>
    <row r="98" spans="1:53" ht="15" customHeight="1" x14ac:dyDescent="0.25">
      <c r="A98" s="13"/>
      <c r="B98" s="13"/>
      <c r="C98" s="156"/>
      <c r="D98" s="258"/>
      <c r="E98" s="258"/>
      <c r="F98" s="406"/>
      <c r="G98" s="406"/>
      <c r="H98" s="466"/>
      <c r="I98" s="466"/>
      <c r="J98" s="260"/>
      <c r="K98" s="260"/>
      <c r="L98" s="260"/>
      <c r="M98" s="260"/>
      <c r="N98" s="260"/>
      <c r="O98" s="260"/>
      <c r="P98" s="260"/>
      <c r="Q98" s="260"/>
      <c r="R98" s="609"/>
      <c r="S98" s="609"/>
      <c r="T98" s="508"/>
      <c r="U98" s="508"/>
      <c r="V98" s="508"/>
      <c r="W98" s="508"/>
      <c r="X98" s="508"/>
      <c r="Y98" s="508"/>
      <c r="Z98" s="508"/>
      <c r="AA98" s="508"/>
      <c r="AB98" s="508"/>
      <c r="AC98" s="508"/>
      <c r="AD98" s="508"/>
      <c r="AE98" s="508"/>
      <c r="AF98" s="508"/>
      <c r="AG98" s="508"/>
      <c r="AH98" s="619"/>
      <c r="AI98" s="619"/>
      <c r="AJ98" s="619"/>
      <c r="AK98" s="619"/>
      <c r="AL98" s="508"/>
      <c r="AM98" s="508"/>
      <c r="AN98" s="508"/>
      <c r="AO98" s="508"/>
      <c r="AP98" s="508"/>
      <c r="AQ98" s="508"/>
      <c r="AR98" s="508"/>
      <c r="AS98" s="508"/>
      <c r="AT98" s="508"/>
      <c r="AU98" s="508"/>
      <c r="AV98" s="508"/>
      <c r="AW98" s="508"/>
      <c r="AX98" s="508"/>
      <c r="AY98" s="508"/>
      <c r="AZ98" s="508"/>
      <c r="BA98" s="508"/>
    </row>
    <row r="99" spans="1:53" ht="15" customHeight="1" x14ac:dyDescent="0.25">
      <c r="A99" s="100"/>
      <c r="B99" s="100"/>
      <c r="C99" s="101"/>
      <c r="D99" s="102"/>
      <c r="E99" s="102"/>
      <c r="F99" s="154"/>
      <c r="G99" s="154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508"/>
      <c r="U99" s="508"/>
      <c r="V99" s="508"/>
      <c r="W99" s="508"/>
      <c r="X99" s="508"/>
      <c r="Y99" s="508"/>
      <c r="Z99" s="508"/>
      <c r="AA99" s="508"/>
      <c r="AB99" s="508"/>
      <c r="AC99" s="508"/>
      <c r="AD99" s="508"/>
      <c r="AE99" s="508"/>
      <c r="AF99" s="508"/>
      <c r="AG99" s="508"/>
      <c r="AH99" s="619"/>
      <c r="AI99" s="619"/>
      <c r="AJ99" s="619"/>
      <c r="AK99" s="619"/>
      <c r="AL99" s="508"/>
      <c r="AM99" s="508"/>
      <c r="AN99" s="508"/>
      <c r="AO99" s="508"/>
      <c r="AP99" s="508"/>
      <c r="AQ99" s="508"/>
      <c r="AR99" s="508"/>
      <c r="AS99" s="508"/>
      <c r="AT99" s="508"/>
      <c r="AU99" s="508"/>
      <c r="AV99" s="508"/>
      <c r="AW99" s="508"/>
      <c r="AX99" s="508"/>
      <c r="AY99" s="508"/>
      <c r="AZ99" s="508"/>
      <c r="BA99" s="508"/>
    </row>
    <row r="100" spans="1:53" ht="15" customHeight="1" x14ac:dyDescent="0.25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508"/>
      <c r="U100" s="508"/>
      <c r="V100" s="508"/>
      <c r="W100" s="508"/>
      <c r="X100" s="508"/>
      <c r="Y100" s="508"/>
      <c r="Z100" s="508"/>
      <c r="AA100" s="508"/>
      <c r="AB100" s="508"/>
      <c r="AC100" s="508"/>
      <c r="AD100" s="508"/>
      <c r="AE100" s="508"/>
      <c r="AF100" s="508"/>
      <c r="AG100" s="508"/>
      <c r="AH100" s="619"/>
      <c r="AI100" s="619"/>
      <c r="AJ100" s="619"/>
      <c r="AK100" s="619"/>
      <c r="AL100" s="508"/>
      <c r="AM100" s="508"/>
      <c r="AN100" s="508"/>
      <c r="AO100" s="508"/>
      <c r="AP100" s="508"/>
      <c r="AQ100" s="508"/>
      <c r="AR100" s="508"/>
      <c r="AS100" s="508"/>
      <c r="AT100" s="508"/>
      <c r="AU100" s="508"/>
      <c r="AV100" s="508"/>
      <c r="AW100" s="508"/>
      <c r="AX100" s="508"/>
      <c r="AY100" s="508"/>
      <c r="AZ100" s="508"/>
      <c r="BA100" s="508"/>
    </row>
    <row r="101" spans="1:53" ht="15" customHeight="1" x14ac:dyDescent="0.25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508"/>
      <c r="U101" s="508"/>
      <c r="V101" s="508"/>
      <c r="W101" s="508"/>
      <c r="X101" s="508"/>
      <c r="Y101" s="508"/>
      <c r="Z101" s="508"/>
      <c r="AA101" s="508"/>
      <c r="AB101" s="508"/>
      <c r="AC101" s="508"/>
      <c r="AD101" s="508"/>
      <c r="AE101" s="508"/>
      <c r="AF101" s="508"/>
      <c r="AG101" s="508"/>
      <c r="AH101" s="619"/>
      <c r="AI101" s="619"/>
      <c r="AJ101" s="619"/>
      <c r="AK101" s="619"/>
      <c r="AL101" s="508"/>
      <c r="AM101" s="508"/>
      <c r="AN101" s="508"/>
      <c r="AO101" s="508"/>
      <c r="AP101" s="508"/>
      <c r="AQ101" s="508"/>
      <c r="AR101" s="508"/>
      <c r="AS101" s="508"/>
      <c r="AT101" s="508"/>
      <c r="AU101" s="508"/>
      <c r="AV101" s="508"/>
      <c r="AW101" s="508"/>
      <c r="AX101" s="508"/>
      <c r="AY101" s="508"/>
      <c r="AZ101" s="508"/>
      <c r="BA101" s="508"/>
    </row>
    <row r="102" spans="1:53" ht="15" customHeight="1" x14ac:dyDescent="0.25">
      <c r="A102" s="110"/>
      <c r="B102" s="110"/>
      <c r="C102" s="110"/>
      <c r="D102" s="110"/>
      <c r="E102" s="212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619"/>
      <c r="AI102" s="619"/>
      <c r="AJ102" s="619"/>
      <c r="AK102" s="619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1"/>
      <c r="AZ102" s="111"/>
      <c r="BA102" s="111"/>
    </row>
    <row r="103" spans="1:53" ht="15" customHeight="1" x14ac:dyDescent="0.2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619"/>
      <c r="AI103" s="619"/>
      <c r="AJ103" s="619"/>
      <c r="AK103" s="619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1"/>
      <c r="AZ103" s="111"/>
      <c r="BA103" s="111"/>
    </row>
    <row r="104" spans="1:53" ht="15" customHeight="1" x14ac:dyDescent="0.25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619"/>
      <c r="AI104" s="619"/>
      <c r="AJ104" s="619"/>
      <c r="AK104" s="619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1"/>
      <c r="AZ104" s="111"/>
      <c r="BA104" s="111"/>
    </row>
    <row r="105" spans="1:53" ht="15" customHeight="1" x14ac:dyDescent="0.25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619"/>
      <c r="AI105" s="619"/>
      <c r="AJ105" s="619"/>
      <c r="AK105" s="619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1"/>
      <c r="AZ105" s="111"/>
      <c r="BA105" s="111"/>
    </row>
    <row r="106" spans="1:53" ht="15" customHeight="1" x14ac:dyDescent="0.25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619"/>
      <c r="AI106" s="619"/>
      <c r="AJ106" s="619"/>
      <c r="AK106" s="619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1"/>
      <c r="AZ106" s="111"/>
      <c r="BA106" s="111"/>
    </row>
    <row r="107" spans="1:53" ht="15" customHeight="1" x14ac:dyDescent="0.25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619"/>
      <c r="AI107" s="619"/>
      <c r="AJ107" s="619"/>
      <c r="AK107" s="619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1"/>
      <c r="AZ107" s="111"/>
      <c r="BA107" s="111"/>
    </row>
    <row r="108" spans="1:53" ht="15" customHeight="1" x14ac:dyDescent="0.25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619"/>
      <c r="AI108" s="619"/>
      <c r="AJ108" s="619"/>
      <c r="AK108" s="619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1"/>
      <c r="AZ108" s="111"/>
      <c r="BA108" s="111"/>
    </row>
    <row r="109" spans="1:53" ht="15" customHeight="1" x14ac:dyDescent="0.25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619"/>
      <c r="AI109" s="619"/>
      <c r="AJ109" s="619"/>
      <c r="AK109" s="619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1"/>
      <c r="AZ109" s="111"/>
      <c r="BA109" s="111"/>
    </row>
    <row r="110" spans="1:53" ht="15" customHeight="1" x14ac:dyDescent="0.25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619"/>
      <c r="AI110" s="619"/>
      <c r="AJ110" s="619"/>
      <c r="AK110" s="619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1"/>
      <c r="AZ110" s="111"/>
      <c r="BA110" s="111"/>
    </row>
    <row r="111" spans="1:53" x14ac:dyDescent="0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1"/>
      <c r="AZ111" s="111"/>
      <c r="BA111" s="111"/>
    </row>
    <row r="112" spans="1:53" x14ac:dyDescent="0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1"/>
      <c r="AZ112" s="111"/>
      <c r="BA112" s="111"/>
    </row>
    <row r="113" spans="1:53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1"/>
      <c r="AZ113" s="111"/>
      <c r="BA113" s="111"/>
    </row>
    <row r="114" spans="1:53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1"/>
      <c r="AZ114" s="111"/>
      <c r="BA114" s="111"/>
    </row>
    <row r="115" spans="1:53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1"/>
      <c r="AZ115" s="111"/>
      <c r="BA115" s="111"/>
    </row>
    <row r="116" spans="1:53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1"/>
      <c r="AZ116" s="111"/>
      <c r="BA116" s="111"/>
    </row>
    <row r="117" spans="1:53" x14ac:dyDescent="0.25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1"/>
      <c r="AZ117" s="111"/>
      <c r="BA117" s="111"/>
    </row>
    <row r="118" spans="1:53" x14ac:dyDescent="0.25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1"/>
      <c r="AZ118" s="111"/>
      <c r="BA118" s="111"/>
    </row>
    <row r="119" spans="1:53" x14ac:dyDescent="0.25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</row>
    <row r="120" spans="1:53" x14ac:dyDescent="0.25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</row>
  </sheetData>
  <mergeCells count="84">
    <mergeCell ref="BB7:BB8"/>
    <mergeCell ref="BC7:BC8"/>
    <mergeCell ref="AJ44:AJ45"/>
    <mergeCell ref="AL44:AL45"/>
    <mergeCell ref="AM44:AM45"/>
    <mergeCell ref="AK44:AK45"/>
    <mergeCell ref="AY7:AY8"/>
    <mergeCell ref="AZ7:AZ8"/>
    <mergeCell ref="AM7:AM8"/>
    <mergeCell ref="AN7:AN8"/>
    <mergeCell ref="AP7:AP8"/>
    <mergeCell ref="AS7:AS8"/>
    <mergeCell ref="AU7:AU8"/>
    <mergeCell ref="AV7:AV8"/>
    <mergeCell ref="AX7:AX8"/>
    <mergeCell ref="AL7:AL8"/>
    <mergeCell ref="AH44:AI44"/>
    <mergeCell ref="AF44:AG44"/>
    <mergeCell ref="A7:A8"/>
    <mergeCell ref="B7:B8"/>
    <mergeCell ref="C7:C8"/>
    <mergeCell ref="D7:D8"/>
    <mergeCell ref="E7:E8"/>
    <mergeCell ref="L7:M7"/>
    <mergeCell ref="F7:F8"/>
    <mergeCell ref="J7:K7"/>
    <mergeCell ref="G7:G8"/>
    <mergeCell ref="H7:H8"/>
    <mergeCell ref="I7:I8"/>
    <mergeCell ref="V7:W7"/>
    <mergeCell ref="F44:F45"/>
    <mergeCell ref="G44:G45"/>
    <mergeCell ref="H44:H45"/>
    <mergeCell ref="I44:I45"/>
    <mergeCell ref="AD44:AE44"/>
    <mergeCell ref="AB44:AC44"/>
    <mergeCell ref="A44:A45"/>
    <mergeCell ref="B44:B45"/>
    <mergeCell ref="C44:C45"/>
    <mergeCell ref="D44:D45"/>
    <mergeCell ref="E44:E45"/>
    <mergeCell ref="AO7:AO8"/>
    <mergeCell ref="R7:S7"/>
    <mergeCell ref="T7:U7"/>
    <mergeCell ref="X7:Y7"/>
    <mergeCell ref="Z7:AA7"/>
    <mergeCell ref="AH7:AI7"/>
    <mergeCell ref="AB7:AC7"/>
    <mergeCell ref="AD7:AE7"/>
    <mergeCell ref="AF7:AG7"/>
    <mergeCell ref="AK7:AK8"/>
    <mergeCell ref="BA7:BA8"/>
    <mergeCell ref="A77:A78"/>
    <mergeCell ref="C77:C78"/>
    <mergeCell ref="D77:D78"/>
    <mergeCell ref="E77:E78"/>
    <mergeCell ref="F77:F78"/>
    <mergeCell ref="AT7:AT8"/>
    <mergeCell ref="AW7:AW8"/>
    <mergeCell ref="G77:G78"/>
    <mergeCell ref="H77:H78"/>
    <mergeCell ref="I77:I78"/>
    <mergeCell ref="AQ7:AQ8"/>
    <mergeCell ref="AR7:AR8"/>
    <mergeCell ref="N7:O7"/>
    <mergeCell ref="P7:Q7"/>
    <mergeCell ref="AJ7:AJ8"/>
    <mergeCell ref="AN44:AN45"/>
    <mergeCell ref="AO44:AO45"/>
    <mergeCell ref="AP44:AP45"/>
    <mergeCell ref="AQ44:AQ45"/>
    <mergeCell ref="AR44:AR45"/>
    <mergeCell ref="AS44:AS45"/>
    <mergeCell ref="AT44:AT45"/>
    <mergeCell ref="AU44:AU45"/>
    <mergeCell ref="AV44:AV45"/>
    <mergeCell ref="AW44:AW45"/>
    <mergeCell ref="BC44:BC45"/>
    <mergeCell ref="BD44:BD45"/>
    <mergeCell ref="BE44:BE45"/>
    <mergeCell ref="AX44:AX45"/>
    <mergeCell ref="AY44:AY45"/>
    <mergeCell ref="AZ44:AZ45"/>
    <mergeCell ref="BA44:BA45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G33 AH70 AJ7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4"/>
  <sheetViews>
    <sheetView workbookViewId="0">
      <selection activeCell="B1" sqref="B1:Z1048576"/>
    </sheetView>
  </sheetViews>
  <sheetFormatPr defaultRowHeight="15" x14ac:dyDescent="0.25"/>
  <cols>
    <col min="1" max="1" width="3.85546875" customWidth="1"/>
    <col min="2" max="2" width="17.140625" customWidth="1"/>
    <col min="3" max="3" width="6.85546875" customWidth="1"/>
    <col min="4" max="4" width="7.28515625" customWidth="1"/>
    <col min="5" max="5" width="8.140625" customWidth="1"/>
    <col min="6" max="6" width="8.28515625" customWidth="1"/>
    <col min="7" max="7" width="9.85546875" customWidth="1"/>
    <col min="8" max="8" width="9.5703125" customWidth="1"/>
    <col min="9" max="9" width="11" customWidth="1"/>
    <col min="10" max="10" width="11.5703125" customWidth="1"/>
    <col min="11" max="11" width="12" customWidth="1"/>
    <col min="12" max="24" width="11.5703125" customWidth="1"/>
    <col min="25" max="26" width="12.28515625" customWidth="1"/>
    <col min="27" max="27" width="11.28515625" customWidth="1"/>
    <col min="28" max="28" width="12.140625" customWidth="1"/>
    <col min="29" max="29" width="11.42578125" customWidth="1"/>
    <col min="30" max="30" width="11" customWidth="1"/>
    <col min="31" max="31" width="11.28515625" customWidth="1"/>
    <col min="32" max="32" width="12.5703125" customWidth="1"/>
    <col min="33" max="33" width="11.42578125" customWidth="1"/>
    <col min="34" max="38" width="11.140625" customWidth="1"/>
    <col min="39" max="39" width="11.85546875" customWidth="1"/>
    <col min="40" max="40" width="11.5703125" customWidth="1"/>
    <col min="41" max="41" width="11.7109375" customWidth="1"/>
    <col min="42" max="42" width="9.140625" customWidth="1"/>
    <col min="43" max="43" width="11.85546875" customWidth="1"/>
    <col min="44" max="45" width="11.42578125" customWidth="1"/>
    <col min="46" max="46" width="11.85546875" customWidth="1"/>
    <col min="47" max="47" width="10.28515625" customWidth="1"/>
    <col min="48" max="48" width="11.28515625" customWidth="1"/>
    <col min="49" max="49" width="10.28515625" customWidth="1"/>
  </cols>
  <sheetData>
    <row r="1" spans="1:51" ht="18.75" x14ac:dyDescent="0.3">
      <c r="B1" s="49" t="s">
        <v>427</v>
      </c>
      <c r="C1" s="49"/>
      <c r="D1" s="49"/>
      <c r="E1" s="49"/>
      <c r="F1" s="49"/>
      <c r="G1" s="49"/>
      <c r="H1" s="49"/>
      <c r="I1" s="49"/>
      <c r="J1" s="4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P1" s="27"/>
      <c r="AQ1" s="27"/>
      <c r="AR1" s="27"/>
      <c r="AS1" s="27"/>
      <c r="AT1" s="27"/>
    </row>
    <row r="2" spans="1:51" ht="18.75" x14ac:dyDescent="0.3">
      <c r="A2" s="16"/>
      <c r="B2" s="49"/>
      <c r="C2" s="81"/>
      <c r="D2" s="49"/>
      <c r="E2" s="49"/>
      <c r="F2" s="49"/>
      <c r="G2" s="218"/>
      <c r="H2" s="49"/>
      <c r="I2" s="49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P2" s="27"/>
      <c r="AQ2" s="27"/>
      <c r="AR2" s="27"/>
      <c r="AS2" s="27"/>
      <c r="AT2" s="27"/>
    </row>
    <row r="3" spans="1:51" ht="18" x14ac:dyDescent="0.25">
      <c r="A3" s="1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P3" s="27"/>
      <c r="AQ3" s="27"/>
      <c r="AR3" s="27"/>
      <c r="AS3" s="27"/>
      <c r="AT3" s="27"/>
      <c r="AV3" s="111"/>
      <c r="AW3" s="111"/>
      <c r="AX3" s="111"/>
      <c r="AY3" s="111"/>
    </row>
    <row r="4" spans="1:51" ht="18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P4" s="27"/>
      <c r="AQ4" s="27"/>
      <c r="AR4" s="27"/>
      <c r="AS4" s="27"/>
      <c r="AT4" s="27"/>
      <c r="AU4" s="111"/>
      <c r="AV4" s="111"/>
      <c r="AW4" s="111"/>
      <c r="AX4" s="111"/>
      <c r="AY4" s="111"/>
    </row>
    <row r="5" spans="1:51" ht="39.75" customHeight="1" x14ac:dyDescent="0.25">
      <c r="A5" s="915" t="s">
        <v>0</v>
      </c>
      <c r="B5" s="915" t="s">
        <v>130</v>
      </c>
      <c r="C5" s="915" t="s">
        <v>43</v>
      </c>
      <c r="D5" s="915" t="s">
        <v>44</v>
      </c>
      <c r="E5" s="915" t="s">
        <v>45</v>
      </c>
      <c r="F5" s="915" t="s">
        <v>46</v>
      </c>
      <c r="G5" s="915" t="s">
        <v>1</v>
      </c>
      <c r="H5" s="988" t="s">
        <v>177</v>
      </c>
      <c r="I5" s="865" t="s">
        <v>241</v>
      </c>
      <c r="J5" s="866"/>
      <c r="K5" s="865" t="s">
        <v>428</v>
      </c>
      <c r="L5" s="866"/>
      <c r="M5" s="865" t="s">
        <v>333</v>
      </c>
      <c r="N5" s="866"/>
      <c r="O5" s="865" t="s">
        <v>240</v>
      </c>
      <c r="P5" s="866"/>
      <c r="Q5" s="865" t="s">
        <v>186</v>
      </c>
      <c r="R5" s="866"/>
      <c r="S5" s="865" t="s">
        <v>247</v>
      </c>
      <c r="T5" s="866"/>
      <c r="U5" s="865" t="s">
        <v>243</v>
      </c>
      <c r="V5" s="866"/>
      <c r="W5" s="867" t="s">
        <v>248</v>
      </c>
      <c r="X5" s="867"/>
      <c r="Y5" s="987" t="s">
        <v>206</v>
      </c>
      <c r="Z5" s="881" t="s">
        <v>241</v>
      </c>
      <c r="AA5" s="862" t="s">
        <v>224</v>
      </c>
      <c r="AB5" s="862" t="s">
        <v>339</v>
      </c>
      <c r="AC5" s="862" t="s">
        <v>3</v>
      </c>
      <c r="AD5" s="862" t="s">
        <v>249</v>
      </c>
      <c r="AE5" s="873" t="s">
        <v>435</v>
      </c>
      <c r="AF5" s="875" t="s">
        <v>198</v>
      </c>
      <c r="AG5" s="862" t="s">
        <v>250</v>
      </c>
      <c r="AH5" s="877" t="s">
        <v>240</v>
      </c>
      <c r="AI5" s="888" t="s">
        <v>411</v>
      </c>
      <c r="AJ5" s="888" t="s">
        <v>432</v>
      </c>
      <c r="AK5" s="888" t="s">
        <v>308</v>
      </c>
      <c r="AL5" s="879" t="s">
        <v>251</v>
      </c>
      <c r="AM5" s="877" t="s">
        <v>307</v>
      </c>
      <c r="AN5" s="881" t="s">
        <v>189</v>
      </c>
      <c r="AO5" s="877" t="s">
        <v>203</v>
      </c>
      <c r="AP5" s="882" t="s">
        <v>275</v>
      </c>
      <c r="AQ5" s="879" t="s">
        <v>433</v>
      </c>
      <c r="AR5" s="879" t="s">
        <v>434</v>
      </c>
      <c r="AS5" s="888" t="s">
        <v>227</v>
      </c>
      <c r="AT5" s="985" t="s">
        <v>367</v>
      </c>
      <c r="AU5" s="111"/>
      <c r="AV5" s="111"/>
      <c r="AW5" s="111"/>
      <c r="AX5" s="111"/>
      <c r="AY5" s="111"/>
    </row>
    <row r="6" spans="1:51" ht="50.25" customHeight="1" x14ac:dyDescent="0.25">
      <c r="A6" s="915"/>
      <c r="B6" s="915"/>
      <c r="C6" s="915"/>
      <c r="D6" s="915"/>
      <c r="E6" s="915"/>
      <c r="F6" s="915"/>
      <c r="G6" s="915"/>
      <c r="H6" s="989"/>
      <c r="I6" s="82" t="s">
        <v>4</v>
      </c>
      <c r="J6" s="219" t="s">
        <v>5</v>
      </c>
      <c r="K6" s="82" t="s">
        <v>4</v>
      </c>
      <c r="L6" s="84" t="s">
        <v>5</v>
      </c>
      <c r="M6" s="82" t="s">
        <v>4</v>
      </c>
      <c r="N6" s="704" t="s">
        <v>5</v>
      </c>
      <c r="O6" s="82" t="s">
        <v>4</v>
      </c>
      <c r="P6" s="704" t="s">
        <v>5</v>
      </c>
      <c r="Q6" s="82" t="s">
        <v>4</v>
      </c>
      <c r="R6" s="704" t="s">
        <v>5</v>
      </c>
      <c r="S6" s="82" t="s">
        <v>4</v>
      </c>
      <c r="T6" s="704" t="s">
        <v>5</v>
      </c>
      <c r="U6" s="82" t="s">
        <v>4</v>
      </c>
      <c r="V6" s="704" t="s">
        <v>5</v>
      </c>
      <c r="W6" s="542" t="s">
        <v>4</v>
      </c>
      <c r="X6" s="543" t="s">
        <v>5</v>
      </c>
      <c r="Y6" s="987"/>
      <c r="Z6" s="881"/>
      <c r="AA6" s="863"/>
      <c r="AB6" s="864"/>
      <c r="AC6" s="863"/>
      <c r="AD6" s="863"/>
      <c r="AE6" s="874"/>
      <c r="AF6" s="876"/>
      <c r="AG6" s="863"/>
      <c r="AH6" s="878"/>
      <c r="AI6" s="889"/>
      <c r="AJ6" s="889"/>
      <c r="AK6" s="889"/>
      <c r="AL6" s="880"/>
      <c r="AM6" s="878"/>
      <c r="AN6" s="881"/>
      <c r="AO6" s="864"/>
      <c r="AP6" s="864"/>
      <c r="AQ6" s="949"/>
      <c r="AR6" s="949"/>
      <c r="AS6" s="889"/>
      <c r="AT6" s="986"/>
      <c r="AU6" s="111"/>
      <c r="AV6" s="111"/>
      <c r="AW6" s="111"/>
      <c r="AX6" s="111"/>
      <c r="AY6" s="111"/>
    </row>
    <row r="7" spans="1:51" x14ac:dyDescent="0.25">
      <c r="A7" s="135">
        <v>1</v>
      </c>
      <c r="B7" s="136" t="s">
        <v>163</v>
      </c>
      <c r="C7" s="362">
        <v>1964</v>
      </c>
      <c r="D7" s="362">
        <v>2</v>
      </c>
      <c r="E7" s="362">
        <v>16</v>
      </c>
      <c r="F7" s="363">
        <v>27</v>
      </c>
      <c r="G7" s="362">
        <v>635.25</v>
      </c>
      <c r="H7" s="362"/>
      <c r="I7" s="365"/>
      <c r="J7" s="365"/>
      <c r="K7" s="364"/>
      <c r="L7" s="364"/>
      <c r="M7" s="364"/>
      <c r="N7" s="364"/>
      <c r="O7" s="364">
        <v>474.36</v>
      </c>
      <c r="P7" s="364">
        <v>393.75</v>
      </c>
      <c r="Q7" s="364">
        <v>95643.24</v>
      </c>
      <c r="R7" s="364">
        <v>78136.399999999994</v>
      </c>
      <c r="S7" s="364">
        <f>Q7-U31</f>
        <v>82938.240000000005</v>
      </c>
      <c r="T7" s="364">
        <f>R7/Q7*S7</f>
        <v>67756.963230605732</v>
      </c>
      <c r="U7" s="364">
        <f>S7</f>
        <v>82938.240000000005</v>
      </c>
      <c r="V7" s="364">
        <f>T7</f>
        <v>67756.963230605732</v>
      </c>
      <c r="W7" s="364">
        <f>I7+K7+M7+O7+U7</f>
        <v>83412.600000000006</v>
      </c>
      <c r="X7" s="364">
        <f>J7+L7+N7+P7+V7</f>
        <v>68150.713230605732</v>
      </c>
      <c r="Y7" s="753">
        <f>Z7+AA7+AB7+AC7+AD7+AE7+AF7+AG7+AH7+AI7+AJ7+AK7+AL7+AM7+AN7+AO7+AP7+AQ7+AR7+AS7</f>
        <v>86883.182464063822</v>
      </c>
      <c r="Z7" s="366"/>
      <c r="AA7" s="367">
        <v>454.22</v>
      </c>
      <c r="AB7" s="367"/>
      <c r="AC7" s="367">
        <v>37366.879999999997</v>
      </c>
      <c r="AD7" s="367">
        <v>12656.7</v>
      </c>
      <c r="AE7" s="367">
        <f>17355.84/19301.57*G7</f>
        <v>571.21246406380419</v>
      </c>
      <c r="AF7" s="367">
        <v>1004.94</v>
      </c>
      <c r="AG7" s="367">
        <v>825.12</v>
      </c>
      <c r="AH7" s="367">
        <v>80.36</v>
      </c>
      <c r="AI7" s="367">
        <v>32.909999999999997</v>
      </c>
      <c r="AJ7" s="367">
        <v>272.5</v>
      </c>
      <c r="AK7" s="367">
        <v>189.24</v>
      </c>
      <c r="AL7" s="367">
        <v>3819.63</v>
      </c>
      <c r="AM7" s="367">
        <v>226.1</v>
      </c>
      <c r="AN7" s="367">
        <v>26502.29</v>
      </c>
      <c r="AO7" s="368">
        <v>2881.08</v>
      </c>
      <c r="AP7" s="342"/>
      <c r="AQ7" s="342"/>
      <c r="AR7" s="342"/>
      <c r="AS7" s="342"/>
      <c r="AT7" s="716">
        <f>W7-Y7</f>
        <v>-3470.5824640638166</v>
      </c>
      <c r="AU7" s="111"/>
      <c r="AV7" s="111"/>
      <c r="AW7" s="111"/>
      <c r="AX7" s="111"/>
      <c r="AY7" s="111"/>
    </row>
    <row r="8" spans="1:51" x14ac:dyDescent="0.25">
      <c r="A8" s="135">
        <v>2</v>
      </c>
      <c r="B8" s="136" t="s">
        <v>164</v>
      </c>
      <c r="C8" s="369">
        <v>1965</v>
      </c>
      <c r="D8" s="369">
        <v>2</v>
      </c>
      <c r="E8" s="369">
        <v>16</v>
      </c>
      <c r="F8" s="370">
        <v>36</v>
      </c>
      <c r="G8" s="371">
        <v>632.16999999999996</v>
      </c>
      <c r="H8" s="371"/>
      <c r="I8" s="381"/>
      <c r="J8" s="381"/>
      <c r="K8" s="364"/>
      <c r="L8" s="364"/>
      <c r="M8" s="364"/>
      <c r="N8" s="364"/>
      <c r="O8" s="364">
        <v>474.42</v>
      </c>
      <c r="P8" s="364">
        <v>425.96</v>
      </c>
      <c r="Q8" s="364">
        <v>94976.36</v>
      </c>
      <c r="R8" s="364">
        <v>81367.66</v>
      </c>
      <c r="S8" s="364">
        <f t="shared" ref="S8:S20" si="0">Q8-U32</f>
        <v>82359.960000000006</v>
      </c>
      <c r="T8" s="364">
        <f t="shared" ref="T8:T20" si="1">R8/Q8*S8</f>
        <v>70559.002502239513</v>
      </c>
      <c r="U8" s="364">
        <f t="shared" ref="U8:U20" si="2">S8</f>
        <v>82359.960000000006</v>
      </c>
      <c r="V8" s="364">
        <f t="shared" ref="V8:V20" si="3">T8</f>
        <v>70559.002502239513</v>
      </c>
      <c r="W8" s="364">
        <f t="shared" ref="W8:W20" si="4">I8+K8+M8+O8+U8</f>
        <v>82834.38</v>
      </c>
      <c r="X8" s="364">
        <f t="shared" ref="X8:X20" si="5">J8+L8+N8+P8+V8</f>
        <v>70984.962502239519</v>
      </c>
      <c r="Y8" s="753">
        <f t="shared" ref="Y8:Y20" si="6">Z8+AA8+AB8+AC8+AD8+AE8+AF8+AG8+AH8+AI8+AJ8+AK8+AL8+AM8+AN8+AO8+AP8+AQ8+AR8+AS8</f>
        <v>86173.002949086513</v>
      </c>
      <c r="Z8" s="366"/>
      <c r="AA8" s="367">
        <v>451.04</v>
      </c>
      <c r="AB8" s="367"/>
      <c r="AC8" s="367">
        <v>37106.28</v>
      </c>
      <c r="AD8" s="367">
        <v>12568.39</v>
      </c>
      <c r="AE8" s="367">
        <f t="shared" ref="AE8:AE20" si="7">17355.84/19301.57*G8</f>
        <v>568.442949086525</v>
      </c>
      <c r="AF8" s="367">
        <v>997.93</v>
      </c>
      <c r="AG8" s="367">
        <v>825.12</v>
      </c>
      <c r="AH8" s="367">
        <v>80.38</v>
      </c>
      <c r="AI8" s="367">
        <v>32.68</v>
      </c>
      <c r="AJ8" s="367">
        <v>270.60000000000002</v>
      </c>
      <c r="AK8" s="367">
        <v>187.92</v>
      </c>
      <c r="AL8" s="367">
        <v>3681.22</v>
      </c>
      <c r="AM8" s="367">
        <v>224.52</v>
      </c>
      <c r="AN8" s="367">
        <v>26317.48</v>
      </c>
      <c r="AO8" s="368">
        <v>2861</v>
      </c>
      <c r="AP8" s="342"/>
      <c r="AQ8" s="342"/>
      <c r="AR8" s="342"/>
      <c r="AS8" s="342"/>
      <c r="AT8" s="716">
        <f t="shared" ref="AT8:AT20" si="8">W8-Y8</f>
        <v>-3338.622949086508</v>
      </c>
      <c r="AU8" s="111"/>
      <c r="AV8" s="111"/>
      <c r="AW8" s="111"/>
      <c r="AX8" s="111"/>
      <c r="AY8" s="111"/>
    </row>
    <row r="9" spans="1:51" x14ac:dyDescent="0.25">
      <c r="A9" s="135">
        <v>3</v>
      </c>
      <c r="B9" s="136" t="s">
        <v>165</v>
      </c>
      <c r="C9" s="369">
        <v>1967</v>
      </c>
      <c r="D9" s="369">
        <v>2</v>
      </c>
      <c r="E9" s="369">
        <v>16</v>
      </c>
      <c r="F9" s="363">
        <v>36</v>
      </c>
      <c r="G9" s="371">
        <v>731.33</v>
      </c>
      <c r="H9" s="371"/>
      <c r="I9" s="381"/>
      <c r="J9" s="381"/>
      <c r="K9" s="364"/>
      <c r="L9" s="364"/>
      <c r="M9" s="364"/>
      <c r="N9" s="364"/>
      <c r="O9" s="364">
        <v>474.6</v>
      </c>
      <c r="P9" s="364">
        <v>458.34</v>
      </c>
      <c r="Q9" s="364">
        <v>102814.97</v>
      </c>
      <c r="R9" s="364">
        <v>85209.53</v>
      </c>
      <c r="S9" s="364">
        <f t="shared" si="0"/>
        <v>95392.12</v>
      </c>
      <c r="T9" s="364">
        <f t="shared" si="1"/>
        <v>79057.725843849388</v>
      </c>
      <c r="U9" s="364">
        <f t="shared" si="2"/>
        <v>95392.12</v>
      </c>
      <c r="V9" s="364">
        <f t="shared" si="3"/>
        <v>79057.725843849388</v>
      </c>
      <c r="W9" s="364">
        <f t="shared" si="4"/>
        <v>95866.72</v>
      </c>
      <c r="X9" s="364">
        <f t="shared" si="5"/>
        <v>79516.065843849385</v>
      </c>
      <c r="Y9" s="753">
        <f t="shared" si="6"/>
        <v>99359.346944264107</v>
      </c>
      <c r="Z9" s="366"/>
      <c r="AA9" s="367">
        <v>522.9</v>
      </c>
      <c r="AB9" s="367"/>
      <c r="AC9" s="367">
        <v>43017.34</v>
      </c>
      <c r="AD9" s="367">
        <v>14570.52</v>
      </c>
      <c r="AE9" s="367">
        <f t="shared" si="7"/>
        <v>657.60694426411953</v>
      </c>
      <c r="AF9" s="367">
        <v>1156.9000000000001</v>
      </c>
      <c r="AG9" s="367">
        <v>825.12</v>
      </c>
      <c r="AH9" s="367">
        <v>80.38</v>
      </c>
      <c r="AI9" s="367">
        <v>37.89</v>
      </c>
      <c r="AJ9" s="367">
        <v>313.70999999999998</v>
      </c>
      <c r="AK9" s="367">
        <v>217.85</v>
      </c>
      <c r="AL9" s="367">
        <v>3872.24</v>
      </c>
      <c r="AM9" s="367">
        <v>260.27999999999997</v>
      </c>
      <c r="AN9" s="367">
        <v>30509.86</v>
      </c>
      <c r="AO9" s="368">
        <v>3316.75</v>
      </c>
      <c r="AP9" s="342"/>
      <c r="AQ9" s="342"/>
      <c r="AR9" s="342"/>
      <c r="AS9" s="342"/>
      <c r="AT9" s="716">
        <f t="shared" si="8"/>
        <v>-3492.626944264106</v>
      </c>
      <c r="AU9" s="111"/>
      <c r="AV9" s="111"/>
      <c r="AW9" s="111"/>
      <c r="AX9" s="111"/>
      <c r="AY9" s="111"/>
    </row>
    <row r="10" spans="1:51" x14ac:dyDescent="0.25">
      <c r="A10" s="135">
        <v>4</v>
      </c>
      <c r="B10" s="136" t="s">
        <v>166</v>
      </c>
      <c r="C10" s="369">
        <v>1974</v>
      </c>
      <c r="D10" s="369">
        <v>2</v>
      </c>
      <c r="E10" s="369">
        <v>18</v>
      </c>
      <c r="F10" s="370">
        <v>43</v>
      </c>
      <c r="G10" s="371">
        <v>866.6</v>
      </c>
      <c r="H10" s="371"/>
      <c r="I10" s="381">
        <v>6457.5</v>
      </c>
      <c r="J10" s="381">
        <v>7499.09</v>
      </c>
      <c r="K10" s="364"/>
      <c r="L10" s="364"/>
      <c r="M10" s="364">
        <v>1011.06</v>
      </c>
      <c r="N10" s="364">
        <v>966.73</v>
      </c>
      <c r="O10" s="364">
        <v>601.62</v>
      </c>
      <c r="P10" s="364">
        <v>581.51</v>
      </c>
      <c r="Q10" s="364">
        <v>135033.66</v>
      </c>
      <c r="R10" s="364">
        <v>130645.78</v>
      </c>
      <c r="S10" s="364">
        <f t="shared" si="0"/>
        <v>117528.36</v>
      </c>
      <c r="T10" s="364">
        <f t="shared" si="1"/>
        <v>113709.30969597357</v>
      </c>
      <c r="U10" s="364">
        <f t="shared" si="2"/>
        <v>117528.36</v>
      </c>
      <c r="V10" s="364">
        <f t="shared" si="3"/>
        <v>113709.30969597357</v>
      </c>
      <c r="W10" s="364">
        <f t="shared" si="4"/>
        <v>125598.54</v>
      </c>
      <c r="X10" s="364">
        <f t="shared" si="5"/>
        <v>122756.63969597357</v>
      </c>
      <c r="Y10" s="753">
        <f t="shared" si="6"/>
        <v>127921.10080497079</v>
      </c>
      <c r="Z10" s="366">
        <v>5700</v>
      </c>
      <c r="AA10" s="367">
        <v>619.64</v>
      </c>
      <c r="AB10" s="367"/>
      <c r="AC10" s="367">
        <v>50975.42</v>
      </c>
      <c r="AD10" s="367">
        <v>17266.07</v>
      </c>
      <c r="AE10" s="367">
        <f t="shared" si="7"/>
        <v>779.24080497078739</v>
      </c>
      <c r="AF10" s="367">
        <v>1370.92</v>
      </c>
      <c r="AG10" s="367">
        <v>5141.67</v>
      </c>
      <c r="AH10" s="367">
        <v>101.9</v>
      </c>
      <c r="AI10" s="367">
        <v>44.9</v>
      </c>
      <c r="AJ10" s="367">
        <v>371.74</v>
      </c>
      <c r="AK10" s="367">
        <v>258.16000000000003</v>
      </c>
      <c r="AL10" s="367">
        <v>4898.5600000000004</v>
      </c>
      <c r="AM10" s="367">
        <v>308.44</v>
      </c>
      <c r="AN10" s="367">
        <v>36154.089999999997</v>
      </c>
      <c r="AO10" s="368">
        <v>3930.35</v>
      </c>
      <c r="AP10" s="342"/>
      <c r="AQ10" s="342"/>
      <c r="AR10" s="342"/>
      <c r="AS10" s="342"/>
      <c r="AT10" s="716">
        <f t="shared" si="8"/>
        <v>-2322.5608049707953</v>
      </c>
      <c r="AU10" s="111"/>
      <c r="AV10" s="111"/>
      <c r="AW10" s="111"/>
      <c r="AX10" s="111"/>
      <c r="AY10" s="111"/>
    </row>
    <row r="11" spans="1:51" x14ac:dyDescent="0.25">
      <c r="A11" s="135">
        <v>5</v>
      </c>
      <c r="B11" s="136" t="s">
        <v>167</v>
      </c>
      <c r="C11" s="369">
        <v>1976</v>
      </c>
      <c r="D11" s="369">
        <v>2</v>
      </c>
      <c r="E11" s="369">
        <v>18</v>
      </c>
      <c r="F11" s="363">
        <v>44</v>
      </c>
      <c r="G11" s="371">
        <v>865.3</v>
      </c>
      <c r="H11" s="371"/>
      <c r="I11" s="381">
        <v>5022.5</v>
      </c>
      <c r="J11" s="381">
        <v>5631.6</v>
      </c>
      <c r="K11" s="364"/>
      <c r="L11" s="364"/>
      <c r="M11" s="364">
        <v>1011.24</v>
      </c>
      <c r="N11" s="364">
        <v>939.87</v>
      </c>
      <c r="O11" s="364">
        <v>601.62</v>
      </c>
      <c r="P11" s="364">
        <v>568.72</v>
      </c>
      <c r="Q11" s="364">
        <v>134874.32</v>
      </c>
      <c r="R11" s="364">
        <v>127332.35</v>
      </c>
      <c r="S11" s="364">
        <f t="shared" si="0"/>
        <v>117395.27</v>
      </c>
      <c r="T11" s="364">
        <f t="shared" si="1"/>
        <v>110830.70230110892</v>
      </c>
      <c r="U11" s="364">
        <f t="shared" si="2"/>
        <v>117395.27</v>
      </c>
      <c r="V11" s="364">
        <f t="shared" si="3"/>
        <v>110830.70230110892</v>
      </c>
      <c r="W11" s="364">
        <f t="shared" si="4"/>
        <v>124030.63</v>
      </c>
      <c r="X11" s="364">
        <f t="shared" si="5"/>
        <v>117970.89230110892</v>
      </c>
      <c r="Y11" s="753">
        <f t="shared" si="6"/>
        <v>128540.96185384401</v>
      </c>
      <c r="Z11" s="366">
        <v>5400</v>
      </c>
      <c r="AA11" s="367">
        <v>618.71</v>
      </c>
      <c r="AB11" s="367"/>
      <c r="AC11" s="367">
        <v>50898.95</v>
      </c>
      <c r="AD11" s="367">
        <v>17240.11</v>
      </c>
      <c r="AE11" s="367">
        <f t="shared" si="7"/>
        <v>778.07185384401373</v>
      </c>
      <c r="AF11" s="367">
        <v>1368.86</v>
      </c>
      <c r="AG11" s="367">
        <v>6138.92</v>
      </c>
      <c r="AH11" s="367">
        <v>101.88</v>
      </c>
      <c r="AI11" s="367">
        <v>44.83</v>
      </c>
      <c r="AJ11" s="367">
        <v>371.19</v>
      </c>
      <c r="AK11" s="367">
        <v>257.77</v>
      </c>
      <c r="AL11" s="367">
        <v>4989.3999999999996</v>
      </c>
      <c r="AM11" s="367">
        <v>307.97000000000003</v>
      </c>
      <c r="AN11" s="367">
        <v>36099.85</v>
      </c>
      <c r="AO11" s="368">
        <v>3924.45</v>
      </c>
      <c r="AP11" s="342"/>
      <c r="AQ11" s="342"/>
      <c r="AR11" s="342"/>
      <c r="AS11" s="342"/>
      <c r="AT11" s="716">
        <f t="shared" si="8"/>
        <v>-4510.3318538440071</v>
      </c>
      <c r="AU11" s="111"/>
      <c r="AV11" s="111"/>
      <c r="AW11" s="111"/>
      <c r="AX11" s="111"/>
      <c r="AY11" s="111"/>
    </row>
    <row r="12" spans="1:51" x14ac:dyDescent="0.25">
      <c r="A12" s="135">
        <v>6</v>
      </c>
      <c r="B12" s="136" t="s">
        <v>168</v>
      </c>
      <c r="C12" s="369">
        <v>1970</v>
      </c>
      <c r="D12" s="369">
        <v>2</v>
      </c>
      <c r="E12" s="369">
        <v>16</v>
      </c>
      <c r="F12" s="370">
        <v>44</v>
      </c>
      <c r="G12" s="371">
        <v>710.36</v>
      </c>
      <c r="H12" s="371"/>
      <c r="I12" s="381">
        <v>9023.9</v>
      </c>
      <c r="J12" s="381">
        <v>7985.74</v>
      </c>
      <c r="K12" s="364">
        <v>11084.16</v>
      </c>
      <c r="L12" s="364">
        <v>8385.9</v>
      </c>
      <c r="M12" s="364"/>
      <c r="N12" s="364"/>
      <c r="O12" s="364">
        <v>474.6</v>
      </c>
      <c r="P12" s="364">
        <v>417.4</v>
      </c>
      <c r="Q12" s="364">
        <v>92679.24</v>
      </c>
      <c r="R12" s="364">
        <v>81380.72</v>
      </c>
      <c r="S12" s="364">
        <f t="shared" si="0"/>
        <v>68136.154285714292</v>
      </c>
      <c r="T12" s="364">
        <f t="shared" si="1"/>
        <v>59829.680236938868</v>
      </c>
      <c r="U12" s="364">
        <f t="shared" si="2"/>
        <v>68136.154285714292</v>
      </c>
      <c r="V12" s="364">
        <f t="shared" si="3"/>
        <v>59829.680236938868</v>
      </c>
      <c r="W12" s="364">
        <f t="shared" si="4"/>
        <v>88718.814285714296</v>
      </c>
      <c r="X12" s="364">
        <f t="shared" si="5"/>
        <v>76618.720236938869</v>
      </c>
      <c r="Y12" s="753">
        <f t="shared" si="6"/>
        <v>105037.94086339608</v>
      </c>
      <c r="Z12" s="366">
        <v>5100</v>
      </c>
      <c r="AA12" s="367">
        <v>508.03</v>
      </c>
      <c r="AB12" s="367"/>
      <c r="AC12" s="367">
        <v>41793.839999999997</v>
      </c>
      <c r="AD12" s="367">
        <v>14156.14</v>
      </c>
      <c r="AE12" s="367">
        <f t="shared" si="7"/>
        <v>638.7508633960864</v>
      </c>
      <c r="AF12" s="367">
        <v>1123.99</v>
      </c>
      <c r="AG12" s="367">
        <v>825.12</v>
      </c>
      <c r="AH12" s="367">
        <v>80.38</v>
      </c>
      <c r="AI12" s="367">
        <v>36.81</v>
      </c>
      <c r="AJ12" s="367">
        <v>304.79000000000002</v>
      </c>
      <c r="AK12" s="367">
        <v>211.66</v>
      </c>
      <c r="AL12" s="367">
        <v>7141.02</v>
      </c>
      <c r="AM12" s="367">
        <v>252.88</v>
      </c>
      <c r="AN12" s="367">
        <v>29642.11</v>
      </c>
      <c r="AO12" s="368">
        <v>3222.42</v>
      </c>
      <c r="AP12" s="342"/>
      <c r="AQ12" s="342"/>
      <c r="AR12" s="342"/>
      <c r="AS12" s="342"/>
      <c r="AT12" s="716">
        <f t="shared" si="8"/>
        <v>-16319.126577681789</v>
      </c>
      <c r="AU12" s="111"/>
      <c r="AV12" s="111"/>
      <c r="AW12" s="111"/>
      <c r="AX12" s="111"/>
      <c r="AY12" s="111"/>
    </row>
    <row r="13" spans="1:51" x14ac:dyDescent="0.25">
      <c r="A13" s="135">
        <v>7</v>
      </c>
      <c r="B13" s="136" t="s">
        <v>169</v>
      </c>
      <c r="C13" s="369">
        <v>1973</v>
      </c>
      <c r="D13" s="369">
        <v>2</v>
      </c>
      <c r="E13" s="369">
        <v>18</v>
      </c>
      <c r="F13" s="363">
        <v>40</v>
      </c>
      <c r="G13" s="371">
        <v>773.51</v>
      </c>
      <c r="H13" s="371"/>
      <c r="I13" s="381">
        <v>4305</v>
      </c>
      <c r="J13" s="381">
        <v>5245.26</v>
      </c>
      <c r="K13" s="364"/>
      <c r="L13" s="364"/>
      <c r="M13" s="364">
        <v>2178.8200000000002</v>
      </c>
      <c r="N13" s="364">
        <v>1824.84</v>
      </c>
      <c r="O13" s="364">
        <v>1296.45</v>
      </c>
      <c r="P13" s="364">
        <v>1153.82</v>
      </c>
      <c r="Q13" s="364">
        <v>116372.61</v>
      </c>
      <c r="R13" s="364">
        <v>100849.57</v>
      </c>
      <c r="S13" s="364">
        <f t="shared" si="0"/>
        <v>100876.23857142858</v>
      </c>
      <c r="T13" s="364">
        <f t="shared" si="1"/>
        <v>87420.272546486551</v>
      </c>
      <c r="U13" s="364">
        <f t="shared" si="2"/>
        <v>100876.23857142858</v>
      </c>
      <c r="V13" s="364">
        <f t="shared" si="3"/>
        <v>87420.272546486551</v>
      </c>
      <c r="W13" s="364">
        <f t="shared" si="4"/>
        <v>108656.50857142858</v>
      </c>
      <c r="X13" s="364">
        <f t="shared" si="5"/>
        <v>95644.192546486549</v>
      </c>
      <c r="Y13" s="753">
        <f t="shared" si="6"/>
        <v>118628.20491236205</v>
      </c>
      <c r="Z13" s="366">
        <v>5400</v>
      </c>
      <c r="AA13" s="367">
        <v>553.24</v>
      </c>
      <c r="AB13" s="367">
        <v>4752</v>
      </c>
      <c r="AC13" s="367">
        <v>45513.16</v>
      </c>
      <c r="AD13" s="367">
        <v>15434.77</v>
      </c>
      <c r="AE13" s="367">
        <f t="shared" si="7"/>
        <v>695.53491236205139</v>
      </c>
      <c r="AF13" s="367">
        <v>1224.02</v>
      </c>
      <c r="AG13" s="367">
        <v>3842.84</v>
      </c>
      <c r="AH13" s="367">
        <v>219.58</v>
      </c>
      <c r="AI13" s="367">
        <v>40.090000000000003</v>
      </c>
      <c r="AJ13" s="367">
        <v>331.91</v>
      </c>
      <c r="AK13" s="367">
        <v>230.49</v>
      </c>
      <c r="AL13" s="367">
        <v>4325.9799999999996</v>
      </c>
      <c r="AM13" s="367">
        <v>275.39</v>
      </c>
      <c r="AN13" s="367">
        <v>32280.03</v>
      </c>
      <c r="AO13" s="368">
        <v>3509.17</v>
      </c>
      <c r="AP13" s="342"/>
      <c r="AQ13" s="342"/>
      <c r="AR13" s="342"/>
      <c r="AS13" s="342"/>
      <c r="AT13" s="716">
        <f t="shared" si="8"/>
        <v>-9971.6963409334712</v>
      </c>
      <c r="AU13" s="111"/>
      <c r="AV13" s="111"/>
      <c r="AW13" s="111"/>
      <c r="AX13" s="111"/>
      <c r="AY13" s="111"/>
    </row>
    <row r="14" spans="1:51" x14ac:dyDescent="0.25">
      <c r="A14" s="135">
        <v>8</v>
      </c>
      <c r="B14" s="136" t="s">
        <v>170</v>
      </c>
      <c r="C14" s="369">
        <v>1974</v>
      </c>
      <c r="D14" s="369">
        <v>2</v>
      </c>
      <c r="E14" s="369">
        <v>18</v>
      </c>
      <c r="F14" s="370">
        <v>49</v>
      </c>
      <c r="G14" s="371">
        <v>779.68</v>
      </c>
      <c r="H14" s="371"/>
      <c r="I14" s="381">
        <v>4305</v>
      </c>
      <c r="J14" s="381">
        <v>4453.08</v>
      </c>
      <c r="K14" s="364"/>
      <c r="L14" s="364"/>
      <c r="M14" s="364">
        <v>814.55</v>
      </c>
      <c r="N14" s="364">
        <v>944.64</v>
      </c>
      <c r="O14" s="364">
        <v>1296.5899999999999</v>
      </c>
      <c r="P14" s="364">
        <v>1195.58</v>
      </c>
      <c r="Q14" s="364">
        <v>117185.79</v>
      </c>
      <c r="R14" s="364">
        <v>98390.29</v>
      </c>
      <c r="S14" s="364">
        <f t="shared" si="0"/>
        <v>101596.39</v>
      </c>
      <c r="T14" s="364">
        <f t="shared" si="1"/>
        <v>85301.283330112798</v>
      </c>
      <c r="U14" s="364">
        <f t="shared" si="2"/>
        <v>101596.39</v>
      </c>
      <c r="V14" s="364">
        <f t="shared" si="3"/>
        <v>85301.283330112798</v>
      </c>
      <c r="W14" s="364">
        <f t="shared" si="4"/>
        <v>108012.53</v>
      </c>
      <c r="X14" s="364">
        <f t="shared" si="5"/>
        <v>91894.5833301128</v>
      </c>
      <c r="Y14" s="753">
        <f t="shared" si="6"/>
        <v>115003.30293424832</v>
      </c>
      <c r="Z14" s="366">
        <v>5400</v>
      </c>
      <c r="AA14" s="367">
        <v>557.35</v>
      </c>
      <c r="AB14" s="367">
        <v>2376</v>
      </c>
      <c r="AC14" s="367">
        <v>45850.22</v>
      </c>
      <c r="AD14" s="367">
        <v>15530.11</v>
      </c>
      <c r="AE14" s="367">
        <f t="shared" si="7"/>
        <v>701.08293424835381</v>
      </c>
      <c r="AF14" s="367">
        <v>1233.0899999999999</v>
      </c>
      <c r="AG14" s="367">
        <v>1626.14</v>
      </c>
      <c r="AH14" s="367">
        <v>219.62</v>
      </c>
      <c r="AI14" s="367">
        <v>40.380000000000003</v>
      </c>
      <c r="AJ14" s="367">
        <v>334.37</v>
      </c>
      <c r="AK14" s="367">
        <v>232.2</v>
      </c>
      <c r="AL14" s="367">
        <v>4571.05</v>
      </c>
      <c r="AM14" s="367">
        <v>277.43</v>
      </c>
      <c r="AN14" s="367">
        <v>32519.08</v>
      </c>
      <c r="AO14" s="368">
        <v>3535.18</v>
      </c>
      <c r="AP14" s="342"/>
      <c r="AQ14" s="342"/>
      <c r="AR14" s="342"/>
      <c r="AS14" s="342"/>
      <c r="AT14" s="716">
        <f t="shared" si="8"/>
        <v>-6990.7729342483217</v>
      </c>
      <c r="AU14" s="111"/>
      <c r="AV14" s="111"/>
      <c r="AW14" s="111"/>
      <c r="AX14" s="111"/>
      <c r="AY14" s="111"/>
    </row>
    <row r="15" spans="1:51" x14ac:dyDescent="0.25">
      <c r="A15" s="135">
        <v>9</v>
      </c>
      <c r="B15" s="136" t="s">
        <v>171</v>
      </c>
      <c r="C15" s="369">
        <v>1973</v>
      </c>
      <c r="D15" s="369">
        <v>2</v>
      </c>
      <c r="E15" s="369">
        <v>18</v>
      </c>
      <c r="F15" s="372">
        <v>50</v>
      </c>
      <c r="G15" s="371">
        <v>776.87</v>
      </c>
      <c r="H15" s="371"/>
      <c r="I15" s="381">
        <v>2152.5</v>
      </c>
      <c r="J15" s="381">
        <v>2152.41</v>
      </c>
      <c r="K15" s="364"/>
      <c r="L15" s="364"/>
      <c r="M15" s="364">
        <v>1382.91</v>
      </c>
      <c r="N15" s="364">
        <v>1097.47</v>
      </c>
      <c r="O15" s="364">
        <v>1296.48</v>
      </c>
      <c r="P15" s="364">
        <v>1036.98</v>
      </c>
      <c r="Q15" s="364">
        <v>116804.99</v>
      </c>
      <c r="R15" s="364">
        <v>90327.85</v>
      </c>
      <c r="S15" s="364">
        <f t="shared" si="0"/>
        <v>101271.39000000001</v>
      </c>
      <c r="T15" s="364">
        <f t="shared" si="1"/>
        <v>78315.377837980224</v>
      </c>
      <c r="U15" s="364">
        <f t="shared" si="2"/>
        <v>101271.39000000001</v>
      </c>
      <c r="V15" s="364">
        <f t="shared" si="3"/>
        <v>78315.377837980224</v>
      </c>
      <c r="W15" s="364">
        <f t="shared" si="4"/>
        <v>106103.28000000001</v>
      </c>
      <c r="X15" s="364">
        <f t="shared" si="5"/>
        <v>82602.237837980225</v>
      </c>
      <c r="Y15" s="753">
        <f t="shared" si="6"/>
        <v>115848.58620142817</v>
      </c>
      <c r="Z15" s="366">
        <v>5400</v>
      </c>
      <c r="AA15" s="367">
        <v>555.34</v>
      </c>
      <c r="AB15" s="367">
        <v>2376</v>
      </c>
      <c r="AC15" s="367">
        <v>45686.11</v>
      </c>
      <c r="AD15" s="367">
        <v>15474.49</v>
      </c>
      <c r="AE15" s="367">
        <f t="shared" si="7"/>
        <v>698.55620142817395</v>
      </c>
      <c r="AF15" s="367">
        <v>1228.67</v>
      </c>
      <c r="AG15" s="367">
        <v>2971.89</v>
      </c>
      <c r="AH15" s="367">
        <v>219.58</v>
      </c>
      <c r="AI15" s="367">
        <v>40.24</v>
      </c>
      <c r="AJ15" s="367">
        <v>333.17</v>
      </c>
      <c r="AK15" s="367">
        <v>231.37</v>
      </c>
      <c r="AL15" s="367">
        <v>4431.5600000000004</v>
      </c>
      <c r="AM15" s="367">
        <v>276.43</v>
      </c>
      <c r="AN15" s="367">
        <v>32402.66</v>
      </c>
      <c r="AO15" s="368">
        <v>3522.52</v>
      </c>
      <c r="AP15" s="342"/>
      <c r="AQ15" s="342"/>
      <c r="AR15" s="342"/>
      <c r="AS15" s="342"/>
      <c r="AT15" s="716">
        <f t="shared" si="8"/>
        <v>-9745.3062014281604</v>
      </c>
      <c r="AU15" s="111"/>
      <c r="AV15" s="111"/>
      <c r="AW15" s="111"/>
      <c r="AX15" s="111"/>
      <c r="AY15" s="111"/>
    </row>
    <row r="16" spans="1:51" x14ac:dyDescent="0.25">
      <c r="A16" s="135">
        <v>10</v>
      </c>
      <c r="B16" s="136" t="s">
        <v>172</v>
      </c>
      <c r="C16" s="369">
        <v>1988</v>
      </c>
      <c r="D16" s="369">
        <v>5</v>
      </c>
      <c r="E16" s="369">
        <v>60</v>
      </c>
      <c r="F16" s="370">
        <v>161</v>
      </c>
      <c r="G16" s="371">
        <v>3167</v>
      </c>
      <c r="H16" s="371">
        <v>210</v>
      </c>
      <c r="I16" s="381">
        <v>19731.25</v>
      </c>
      <c r="J16" s="381">
        <v>22193.3</v>
      </c>
      <c r="K16" s="364"/>
      <c r="L16" s="364"/>
      <c r="M16" s="364">
        <v>4463.3500000000004</v>
      </c>
      <c r="N16" s="364">
        <v>3965.04</v>
      </c>
      <c r="O16" s="364">
        <v>2881.56</v>
      </c>
      <c r="P16" s="364">
        <v>2604.63</v>
      </c>
      <c r="Q16" s="364">
        <v>577692.54</v>
      </c>
      <c r="R16" s="364">
        <v>504070.49</v>
      </c>
      <c r="S16" s="364">
        <f t="shared" si="0"/>
        <v>514352.54000000004</v>
      </c>
      <c r="T16" s="364">
        <f t="shared" si="1"/>
        <v>448802.63967151905</v>
      </c>
      <c r="U16" s="364">
        <f t="shared" si="2"/>
        <v>514352.54000000004</v>
      </c>
      <c r="V16" s="364">
        <f t="shared" si="3"/>
        <v>448802.63967151905</v>
      </c>
      <c r="W16" s="364">
        <f t="shared" si="4"/>
        <v>541428.70000000007</v>
      </c>
      <c r="X16" s="364">
        <f t="shared" si="5"/>
        <v>477565.60967151902</v>
      </c>
      <c r="Y16" s="753">
        <f t="shared" si="6"/>
        <v>677633.2547834554</v>
      </c>
      <c r="Z16" s="366">
        <v>18000</v>
      </c>
      <c r="AA16" s="367">
        <v>2264.4699999999998</v>
      </c>
      <c r="AB16" s="367"/>
      <c r="AC16" s="367">
        <v>186290.27</v>
      </c>
      <c r="AD16" s="367">
        <v>63098.97</v>
      </c>
      <c r="AE16" s="367">
        <f t="shared" si="7"/>
        <v>2847.7447834554391</v>
      </c>
      <c r="AF16" s="367">
        <v>5010.05</v>
      </c>
      <c r="AG16" s="367">
        <v>23445.51</v>
      </c>
      <c r="AH16" s="367">
        <v>488.06</v>
      </c>
      <c r="AI16" s="367">
        <v>164.08</v>
      </c>
      <c r="AJ16" s="367">
        <v>1358.55</v>
      </c>
      <c r="AK16" s="367">
        <v>943.43</v>
      </c>
      <c r="AL16" s="367">
        <v>20176.650000000001</v>
      </c>
      <c r="AM16" s="367">
        <v>1127.18</v>
      </c>
      <c r="AN16" s="367">
        <v>132125.54999999999</v>
      </c>
      <c r="AO16" s="368">
        <v>14363.5</v>
      </c>
      <c r="AP16" s="342">
        <v>2522.42</v>
      </c>
      <c r="AQ16" s="342">
        <v>195938.77</v>
      </c>
      <c r="AR16" s="342">
        <v>738.63</v>
      </c>
      <c r="AS16" s="342">
        <v>6729.42</v>
      </c>
      <c r="AT16" s="716">
        <f t="shared" si="8"/>
        <v>-136204.55478345533</v>
      </c>
      <c r="AU16" s="111"/>
      <c r="AV16" s="111"/>
      <c r="AW16" s="111"/>
      <c r="AX16" s="111"/>
      <c r="AY16" s="111"/>
    </row>
    <row r="17" spans="1:51" x14ac:dyDescent="0.25">
      <c r="A17" s="135">
        <v>11</v>
      </c>
      <c r="B17" s="136" t="s">
        <v>173</v>
      </c>
      <c r="C17" s="369">
        <v>1979</v>
      </c>
      <c r="D17" s="369">
        <v>5</v>
      </c>
      <c r="E17" s="369">
        <v>60</v>
      </c>
      <c r="F17" s="363">
        <v>166</v>
      </c>
      <c r="G17" s="371">
        <v>3217.9</v>
      </c>
      <c r="H17" s="371">
        <v>210</v>
      </c>
      <c r="I17" s="381">
        <v>11480</v>
      </c>
      <c r="J17" s="381">
        <v>12765.85</v>
      </c>
      <c r="K17" s="364"/>
      <c r="L17" s="364"/>
      <c r="M17" s="364">
        <v>3802.22</v>
      </c>
      <c r="N17" s="364">
        <v>3292.48</v>
      </c>
      <c r="O17" s="364">
        <v>2882.03</v>
      </c>
      <c r="P17" s="364">
        <v>2666.29</v>
      </c>
      <c r="Q17" s="364">
        <v>635347.27</v>
      </c>
      <c r="R17" s="364">
        <v>558165.49</v>
      </c>
      <c r="S17" s="364">
        <f t="shared" si="0"/>
        <v>538810.27</v>
      </c>
      <c r="T17" s="364">
        <f t="shared" si="1"/>
        <v>473355.77340496372</v>
      </c>
      <c r="U17" s="364">
        <f t="shared" si="2"/>
        <v>538810.27</v>
      </c>
      <c r="V17" s="364">
        <f t="shared" si="3"/>
        <v>473355.77340496372</v>
      </c>
      <c r="W17" s="364">
        <f t="shared" si="4"/>
        <v>556974.52</v>
      </c>
      <c r="X17" s="364">
        <f t="shared" si="5"/>
        <v>492080.39340496372</v>
      </c>
      <c r="Y17" s="753">
        <f t="shared" si="6"/>
        <v>583952.65371603449</v>
      </c>
      <c r="Z17" s="366">
        <v>18000</v>
      </c>
      <c r="AA17" s="367">
        <v>2300.87</v>
      </c>
      <c r="AB17" s="367"/>
      <c r="AC17" s="367">
        <v>189284.33</v>
      </c>
      <c r="AD17" s="367">
        <v>64113.08</v>
      </c>
      <c r="AE17" s="367">
        <f t="shared" si="7"/>
        <v>2893.5137160344989</v>
      </c>
      <c r="AF17" s="367">
        <v>5090.57</v>
      </c>
      <c r="AG17" s="367">
        <v>5146.07</v>
      </c>
      <c r="AH17" s="367">
        <v>487.92</v>
      </c>
      <c r="AI17" s="367">
        <v>166.71</v>
      </c>
      <c r="AJ17" s="367">
        <v>1380.38</v>
      </c>
      <c r="AK17" s="367">
        <v>958.6</v>
      </c>
      <c r="AL17" s="367">
        <v>23235.47</v>
      </c>
      <c r="AM17" s="367">
        <v>1145.3</v>
      </c>
      <c r="AN17" s="367">
        <v>134249.07</v>
      </c>
      <c r="AO17" s="368">
        <v>14594.33</v>
      </c>
      <c r="AP17" s="342">
        <v>2520</v>
      </c>
      <c r="AQ17" s="342">
        <v>110949.85</v>
      </c>
      <c r="AR17" s="342">
        <v>709.59</v>
      </c>
      <c r="AS17" s="342">
        <v>6727</v>
      </c>
      <c r="AT17" s="716">
        <f t="shared" si="8"/>
        <v>-26978.13371603447</v>
      </c>
      <c r="AU17" s="111"/>
      <c r="AV17" s="111"/>
      <c r="AW17" s="111"/>
      <c r="AX17" s="111"/>
      <c r="AY17" s="111"/>
    </row>
    <row r="18" spans="1:51" x14ac:dyDescent="0.25">
      <c r="A18" s="135">
        <v>12</v>
      </c>
      <c r="B18" s="136" t="s">
        <v>174</v>
      </c>
      <c r="C18" s="369">
        <v>1980</v>
      </c>
      <c r="D18" s="369">
        <v>5</v>
      </c>
      <c r="E18" s="369">
        <v>60</v>
      </c>
      <c r="F18" s="370">
        <v>153</v>
      </c>
      <c r="G18" s="371">
        <v>3257.1</v>
      </c>
      <c r="H18" s="371">
        <v>210</v>
      </c>
      <c r="I18" s="381">
        <v>20090</v>
      </c>
      <c r="J18" s="381">
        <v>22453.03</v>
      </c>
      <c r="K18" s="364"/>
      <c r="L18" s="364"/>
      <c r="M18" s="364">
        <v>3905.32</v>
      </c>
      <c r="N18" s="364">
        <v>2915.51</v>
      </c>
      <c r="O18" s="364">
        <v>2881.44</v>
      </c>
      <c r="P18" s="364">
        <v>2478.1799999999998</v>
      </c>
      <c r="Q18" s="364">
        <v>593639.49</v>
      </c>
      <c r="R18" s="364">
        <v>491923.5</v>
      </c>
      <c r="S18" s="364">
        <f t="shared" si="0"/>
        <v>528497.49</v>
      </c>
      <c r="T18" s="364">
        <f t="shared" si="1"/>
        <v>437943.12777611037</v>
      </c>
      <c r="U18" s="364">
        <f t="shared" si="2"/>
        <v>528497.49</v>
      </c>
      <c r="V18" s="364">
        <f t="shared" si="3"/>
        <v>437943.12777611037</v>
      </c>
      <c r="W18" s="364">
        <f t="shared" si="4"/>
        <v>555374.25</v>
      </c>
      <c r="X18" s="364">
        <f t="shared" si="5"/>
        <v>465789.8477761104</v>
      </c>
      <c r="Y18" s="753">
        <f t="shared" si="6"/>
        <v>580830.16208847263</v>
      </c>
      <c r="Z18" s="366"/>
      <c r="AA18" s="367">
        <v>2328.88</v>
      </c>
      <c r="AB18" s="367"/>
      <c r="AC18" s="367">
        <v>191590.23</v>
      </c>
      <c r="AD18" s="367">
        <v>64894.14</v>
      </c>
      <c r="AE18" s="367">
        <f t="shared" si="7"/>
        <v>2928.7620884725957</v>
      </c>
      <c r="AF18" s="367">
        <v>5152.58</v>
      </c>
      <c r="AG18" s="367">
        <v>7559.56</v>
      </c>
      <c r="AH18" s="367">
        <v>487.98</v>
      </c>
      <c r="AI18" s="367">
        <v>168.74</v>
      </c>
      <c r="AJ18" s="367">
        <v>1397.19</v>
      </c>
      <c r="AK18" s="367">
        <v>970.27</v>
      </c>
      <c r="AL18" s="367">
        <v>26310.6</v>
      </c>
      <c r="AM18" s="367">
        <v>1159.25</v>
      </c>
      <c r="AN18" s="367">
        <v>135884.44</v>
      </c>
      <c r="AO18" s="368">
        <v>14772.09</v>
      </c>
      <c r="AP18" s="342">
        <v>2520</v>
      </c>
      <c r="AQ18" s="342">
        <v>115205.18</v>
      </c>
      <c r="AR18" s="342">
        <v>773.27</v>
      </c>
      <c r="AS18" s="342">
        <v>6727</v>
      </c>
      <c r="AT18" s="716">
        <f t="shared" si="8"/>
        <v>-25455.912088472629</v>
      </c>
      <c r="AU18" s="111"/>
      <c r="AV18" s="111"/>
      <c r="AW18" s="111"/>
      <c r="AX18" s="111"/>
      <c r="AY18" s="111"/>
    </row>
    <row r="19" spans="1:51" x14ac:dyDescent="0.25">
      <c r="A19" s="135">
        <v>13</v>
      </c>
      <c r="B19" s="136" t="s">
        <v>175</v>
      </c>
      <c r="C19" s="369">
        <v>1978</v>
      </c>
      <c r="D19" s="369">
        <v>3</v>
      </c>
      <c r="E19" s="369">
        <v>24</v>
      </c>
      <c r="F19" s="363">
        <v>71</v>
      </c>
      <c r="G19" s="371">
        <v>1444.2</v>
      </c>
      <c r="H19" s="371">
        <v>176.8</v>
      </c>
      <c r="I19" s="381">
        <v>5381.32</v>
      </c>
      <c r="J19" s="381">
        <v>6005.12</v>
      </c>
      <c r="K19" s="364"/>
      <c r="L19" s="364"/>
      <c r="M19" s="364">
        <v>486.18</v>
      </c>
      <c r="N19" s="364">
        <v>391.35</v>
      </c>
      <c r="O19" s="364">
        <v>1466.04</v>
      </c>
      <c r="P19" s="364">
        <v>1314.27</v>
      </c>
      <c r="Q19" s="364">
        <v>264303.37</v>
      </c>
      <c r="R19" s="364">
        <v>233376.13</v>
      </c>
      <c r="S19" s="364">
        <f t="shared" si="0"/>
        <v>235419.37</v>
      </c>
      <c r="T19" s="364">
        <f t="shared" si="1"/>
        <v>207871.96734433656</v>
      </c>
      <c r="U19" s="364">
        <f t="shared" si="2"/>
        <v>235419.37</v>
      </c>
      <c r="V19" s="364">
        <f t="shared" si="3"/>
        <v>207871.96734433656</v>
      </c>
      <c r="W19" s="364">
        <f t="shared" si="4"/>
        <v>242752.91</v>
      </c>
      <c r="X19" s="364">
        <f t="shared" si="5"/>
        <v>215582.70734433655</v>
      </c>
      <c r="Y19" s="753">
        <f t="shared" si="6"/>
        <v>254664.45478252808</v>
      </c>
      <c r="Z19" s="366">
        <v>7500</v>
      </c>
      <c r="AA19" s="367">
        <v>1032.6300000000001</v>
      </c>
      <c r="AB19" s="367"/>
      <c r="AC19" s="367">
        <v>84951.2</v>
      </c>
      <c r="AD19" s="367">
        <v>28774.13</v>
      </c>
      <c r="AE19" s="367">
        <f t="shared" si="7"/>
        <v>1298.6147825280534</v>
      </c>
      <c r="AF19" s="367">
        <v>2284.66</v>
      </c>
      <c r="AG19" s="367">
        <v>504.37</v>
      </c>
      <c r="AH19" s="367">
        <v>248.32</v>
      </c>
      <c r="AI19" s="367">
        <v>74.819999999999993</v>
      </c>
      <c r="AJ19" s="367">
        <v>619.52</v>
      </c>
      <c r="AK19" s="367">
        <v>430.22</v>
      </c>
      <c r="AL19" s="367">
        <v>7922.06</v>
      </c>
      <c r="AM19" s="367">
        <v>514.01</v>
      </c>
      <c r="AN19" s="367">
        <v>60251.26</v>
      </c>
      <c r="AO19" s="368">
        <v>6549.96</v>
      </c>
      <c r="AP19" s="342"/>
      <c r="AQ19" s="342">
        <v>51134.57</v>
      </c>
      <c r="AR19" s="342">
        <v>574.11</v>
      </c>
      <c r="AS19" s="342"/>
      <c r="AT19" s="716">
        <f t="shared" si="8"/>
        <v>-11911.544782528072</v>
      </c>
      <c r="AU19" s="111"/>
      <c r="AV19" s="111"/>
      <c r="AW19" s="111"/>
      <c r="AX19" s="111"/>
      <c r="AY19" s="111"/>
    </row>
    <row r="20" spans="1:51" x14ac:dyDescent="0.25">
      <c r="A20" s="135">
        <v>14</v>
      </c>
      <c r="B20" s="136" t="s">
        <v>176</v>
      </c>
      <c r="C20" s="369">
        <v>1980</v>
      </c>
      <c r="D20" s="369">
        <v>3</v>
      </c>
      <c r="E20" s="369">
        <v>24</v>
      </c>
      <c r="F20" s="370">
        <v>71</v>
      </c>
      <c r="G20" s="371">
        <v>1444.3</v>
      </c>
      <c r="H20" s="371">
        <v>176.8</v>
      </c>
      <c r="I20" s="381">
        <v>6457.5</v>
      </c>
      <c r="J20" s="381">
        <v>6655.58</v>
      </c>
      <c r="K20" s="364"/>
      <c r="L20" s="364"/>
      <c r="M20" s="364">
        <v>882.14</v>
      </c>
      <c r="N20" s="364">
        <v>851.05</v>
      </c>
      <c r="O20" s="364">
        <v>1466.1</v>
      </c>
      <c r="P20" s="364">
        <v>1296.0899999999999</v>
      </c>
      <c r="Q20" s="364">
        <v>264669.39</v>
      </c>
      <c r="R20" s="364">
        <v>226694.85</v>
      </c>
      <c r="S20" s="364">
        <f t="shared" si="0"/>
        <v>235745.39</v>
      </c>
      <c r="T20" s="364">
        <f t="shared" si="1"/>
        <v>201920.84103205701</v>
      </c>
      <c r="U20" s="364">
        <f t="shared" si="2"/>
        <v>235745.39</v>
      </c>
      <c r="V20" s="364">
        <f t="shared" si="3"/>
        <v>201920.84103205701</v>
      </c>
      <c r="W20" s="364">
        <f t="shared" si="4"/>
        <v>244551.13</v>
      </c>
      <c r="X20" s="364">
        <f t="shared" si="5"/>
        <v>210723.56103205701</v>
      </c>
      <c r="Y20" s="753">
        <f t="shared" si="6"/>
        <v>294769.4147018455</v>
      </c>
      <c r="Z20" s="366">
        <v>7200</v>
      </c>
      <c r="AA20" s="367">
        <v>1034.06</v>
      </c>
      <c r="AB20" s="367"/>
      <c r="AC20" s="367">
        <v>85068.84</v>
      </c>
      <c r="AD20" s="367">
        <v>28813.97</v>
      </c>
      <c r="AE20" s="367">
        <f t="shared" si="7"/>
        <v>1298.7047018454975</v>
      </c>
      <c r="AF20" s="367">
        <v>2287.8200000000002</v>
      </c>
      <c r="AG20" s="367">
        <v>2663.84</v>
      </c>
      <c r="AH20" s="367">
        <v>248.32</v>
      </c>
      <c r="AI20" s="367">
        <v>74.92</v>
      </c>
      <c r="AJ20" s="367">
        <v>620.38</v>
      </c>
      <c r="AK20" s="367">
        <v>430.82</v>
      </c>
      <c r="AL20" s="367">
        <v>7970.35</v>
      </c>
      <c r="AM20" s="367">
        <v>514.72</v>
      </c>
      <c r="AN20" s="367">
        <v>60334.69</v>
      </c>
      <c r="AO20" s="368">
        <v>6559.05</v>
      </c>
      <c r="AP20" s="342"/>
      <c r="AQ20" s="342">
        <v>88983.06</v>
      </c>
      <c r="AR20" s="342">
        <v>665.87</v>
      </c>
      <c r="AS20" s="342"/>
      <c r="AT20" s="716">
        <f t="shared" si="8"/>
        <v>-50218.284701845492</v>
      </c>
      <c r="AU20" s="111"/>
      <c r="AV20" s="111"/>
      <c r="AW20" s="111"/>
      <c r="AX20" s="111"/>
      <c r="AY20" s="111"/>
    </row>
    <row r="21" spans="1:51" x14ac:dyDescent="0.25">
      <c r="A21" s="135"/>
      <c r="B21" s="714" t="s">
        <v>12</v>
      </c>
      <c r="C21" s="313"/>
      <c r="D21" s="313"/>
      <c r="E21" s="623">
        <f>SUM(E6:E20)</f>
        <v>382</v>
      </c>
      <c r="F21" s="623">
        <f>SUM(F7:F20)</f>
        <v>991</v>
      </c>
      <c r="G21" s="622">
        <f>SUM(G7:G20)</f>
        <v>19301.57</v>
      </c>
      <c r="H21" s="622">
        <f t="shared" ref="H21:AT21" si="9">SUM(H7:H20)</f>
        <v>983.59999999999991</v>
      </c>
      <c r="I21" s="622">
        <f>SUM(I7:I20)</f>
        <v>94406.47</v>
      </c>
      <c r="J21" s="622">
        <f>SUM(J7:J20)</f>
        <v>103040.06000000001</v>
      </c>
      <c r="K21" s="708">
        <f t="shared" si="9"/>
        <v>11084.16</v>
      </c>
      <c r="L21" s="708">
        <f t="shared" si="9"/>
        <v>8385.9</v>
      </c>
      <c r="M21" s="708">
        <f t="shared" si="9"/>
        <v>19937.79</v>
      </c>
      <c r="N21" s="708">
        <f t="shared" si="9"/>
        <v>17188.98</v>
      </c>
      <c r="O21" s="708">
        <f t="shared" si="9"/>
        <v>18567.91</v>
      </c>
      <c r="P21" s="708">
        <f t="shared" si="9"/>
        <v>16591.52</v>
      </c>
      <c r="Q21" s="708">
        <f t="shared" si="9"/>
        <v>3342037.2400000007</v>
      </c>
      <c r="R21" s="708">
        <f t="shared" si="9"/>
        <v>2887870.61</v>
      </c>
      <c r="S21" s="708">
        <f>SUM(S7:S20)</f>
        <v>2920319.1828571432</v>
      </c>
      <c r="T21" s="708">
        <f t="shared" si="9"/>
        <v>2522674.6667542825</v>
      </c>
      <c r="U21" s="708">
        <f t="shared" si="9"/>
        <v>2920319.1828571432</v>
      </c>
      <c r="V21" s="708">
        <f t="shared" si="9"/>
        <v>2522674.6667542825</v>
      </c>
      <c r="W21" s="708">
        <f t="shared" si="9"/>
        <v>3064315.5128571428</v>
      </c>
      <c r="X21" s="708">
        <f t="shared" si="9"/>
        <v>2667881.126754282</v>
      </c>
      <c r="Y21" s="754">
        <f t="shared" si="9"/>
        <v>3375245.5699999994</v>
      </c>
      <c r="Z21" s="708">
        <f t="shared" si="9"/>
        <v>83100</v>
      </c>
      <c r="AA21" s="708">
        <f t="shared" si="9"/>
        <v>13801.380000000003</v>
      </c>
      <c r="AB21" s="708">
        <f t="shared" si="9"/>
        <v>9504</v>
      </c>
      <c r="AC21" s="708">
        <f t="shared" si="9"/>
        <v>1135393.07</v>
      </c>
      <c r="AD21" s="708">
        <f t="shared" si="9"/>
        <v>384591.59000000008</v>
      </c>
      <c r="AE21" s="708">
        <f t="shared" si="9"/>
        <v>17355.84</v>
      </c>
      <c r="AF21" s="708">
        <f t="shared" si="9"/>
        <v>30534.999999999996</v>
      </c>
      <c r="AG21" s="708">
        <f t="shared" si="9"/>
        <v>62341.289999999994</v>
      </c>
      <c r="AH21" s="708">
        <f t="shared" si="9"/>
        <v>3144.6600000000003</v>
      </c>
      <c r="AI21" s="708">
        <f t="shared" si="9"/>
        <v>1000.0000000000001</v>
      </c>
      <c r="AJ21" s="708">
        <f t="shared" si="9"/>
        <v>8280</v>
      </c>
      <c r="AK21" s="708">
        <f t="shared" si="9"/>
        <v>5750</v>
      </c>
      <c r="AL21" s="708">
        <f t="shared" si="9"/>
        <v>127345.79000000001</v>
      </c>
      <c r="AM21" s="708">
        <f t="shared" si="9"/>
        <v>6869.9000000000005</v>
      </c>
      <c r="AN21" s="708">
        <f t="shared" si="9"/>
        <v>805272.46</v>
      </c>
      <c r="AO21" s="708">
        <f t="shared" si="9"/>
        <v>87541.85</v>
      </c>
      <c r="AP21" s="708">
        <f t="shared" si="9"/>
        <v>7562.42</v>
      </c>
      <c r="AQ21" s="708">
        <f t="shared" si="9"/>
        <v>562211.42999999993</v>
      </c>
      <c r="AR21" s="708">
        <f t="shared" si="9"/>
        <v>3461.47</v>
      </c>
      <c r="AS21" s="708">
        <f t="shared" si="9"/>
        <v>20183.419999999998</v>
      </c>
      <c r="AT21" s="622">
        <f t="shared" si="9"/>
        <v>-310930.057142857</v>
      </c>
      <c r="AU21" s="111"/>
      <c r="AV21" s="111"/>
      <c r="AW21" s="111"/>
      <c r="AX21" s="111"/>
      <c r="AY21" s="111"/>
    </row>
    <row r="22" spans="1:51" x14ac:dyDescent="0.25"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294"/>
      <c r="Z22" s="294"/>
      <c r="AA22" s="294"/>
      <c r="AB22" s="294"/>
      <c r="AC22" s="294"/>
      <c r="AD22" s="294"/>
      <c r="AE22" s="294"/>
      <c r="AF22" s="294"/>
      <c r="AG22" s="294"/>
      <c r="AH22" s="289"/>
      <c r="AI22" s="289"/>
      <c r="AJ22" s="289"/>
      <c r="AK22" s="289"/>
      <c r="AL22" s="294"/>
      <c r="AM22" s="294"/>
      <c r="AN22" s="294"/>
      <c r="AO22" s="294"/>
      <c r="AP22" s="294"/>
      <c r="AQ22" s="294"/>
      <c r="AR22" s="294"/>
      <c r="AS22" s="294"/>
      <c r="AT22" s="294"/>
      <c r="AU22" s="111"/>
      <c r="AV22" s="111"/>
      <c r="AW22" s="111"/>
      <c r="AX22" s="111"/>
      <c r="AY22" s="111"/>
    </row>
    <row r="23" spans="1:51" ht="17.25" customHeight="1" x14ac:dyDescent="0.25"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289">
        <f>AQ21+AR21</f>
        <v>565672.89999999991</v>
      </c>
      <c r="AR23" s="148"/>
      <c r="AS23" s="148"/>
      <c r="AT23" s="148"/>
      <c r="AU23" s="148"/>
      <c r="AV23" s="111"/>
      <c r="AW23" s="111"/>
      <c r="AX23" s="111"/>
      <c r="AY23" s="111"/>
    </row>
    <row r="24" spans="1:51" x14ac:dyDescent="0.25"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</row>
    <row r="25" spans="1:51" ht="18.75" x14ac:dyDescent="0.3">
      <c r="B25" s="49" t="s">
        <v>429</v>
      </c>
      <c r="C25" s="291"/>
      <c r="D25" s="291"/>
      <c r="E25" s="291"/>
      <c r="F25" s="291"/>
      <c r="G25" s="291"/>
      <c r="H25" s="291"/>
      <c r="I25" s="291"/>
      <c r="J25" s="291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317"/>
      <c r="AQ25" s="317"/>
      <c r="AR25" s="317"/>
      <c r="AS25" s="317"/>
      <c r="AT25" s="317"/>
      <c r="AU25" s="148"/>
    </row>
    <row r="26" spans="1:51" ht="16.5" customHeight="1" x14ac:dyDescent="0.3">
      <c r="A26" s="16"/>
      <c r="B26" s="49"/>
      <c r="C26" s="291"/>
      <c r="D26" s="291"/>
      <c r="E26" s="291"/>
      <c r="F26" s="291"/>
      <c r="G26" s="291"/>
      <c r="H26" s="291"/>
      <c r="I26" s="291"/>
      <c r="J26" s="291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317"/>
      <c r="AQ26" s="317"/>
      <c r="AR26" s="317"/>
      <c r="AS26" s="317"/>
      <c r="AT26" s="317"/>
      <c r="AU26" s="148"/>
    </row>
    <row r="27" spans="1:51" ht="18" x14ac:dyDescent="0.25">
      <c r="A27" s="16"/>
      <c r="B27" s="1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317"/>
      <c r="AQ27" s="317"/>
      <c r="AR27" s="317"/>
      <c r="AS27" s="317"/>
      <c r="AT27" s="317"/>
      <c r="AU27" s="148"/>
    </row>
    <row r="28" spans="1:51" ht="18" x14ac:dyDescent="0.25">
      <c r="A28" s="16"/>
      <c r="B28" s="1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11"/>
      <c r="AW28" s="111"/>
      <c r="AX28" s="111"/>
    </row>
    <row r="29" spans="1:51" ht="39" customHeight="1" x14ac:dyDescent="0.25">
      <c r="A29" s="915" t="s">
        <v>0</v>
      </c>
      <c r="B29" s="915" t="s">
        <v>130</v>
      </c>
      <c r="C29" s="966" t="s">
        <v>43</v>
      </c>
      <c r="D29" s="966" t="s">
        <v>44</v>
      </c>
      <c r="E29" s="966" t="s">
        <v>45</v>
      </c>
      <c r="F29" s="966" t="s">
        <v>46</v>
      </c>
      <c r="G29" s="966" t="s">
        <v>1</v>
      </c>
      <c r="H29" s="983" t="s">
        <v>177</v>
      </c>
      <c r="I29" s="376"/>
      <c r="J29" s="376"/>
      <c r="K29" s="980" t="s">
        <v>179</v>
      </c>
      <c r="L29" s="981"/>
      <c r="M29" s="705"/>
      <c r="N29" s="705"/>
      <c r="O29" s="705"/>
      <c r="P29" s="705"/>
      <c r="Q29" s="883" t="s">
        <v>269</v>
      </c>
      <c r="R29" s="884"/>
      <c r="S29" s="885" t="s">
        <v>430</v>
      </c>
      <c r="T29" s="885"/>
      <c r="U29" s="883" t="s">
        <v>431</v>
      </c>
      <c r="V29" s="884"/>
      <c r="W29" s="886" t="s">
        <v>263</v>
      </c>
      <c r="X29" s="887"/>
      <c r="Y29" s="982" t="s">
        <v>207</v>
      </c>
      <c r="Z29" s="979" t="s">
        <v>188</v>
      </c>
      <c r="AA29" s="977" t="s">
        <v>312</v>
      </c>
      <c r="AB29" s="877" t="s">
        <v>200</v>
      </c>
      <c r="AC29" s="975" t="s">
        <v>437</v>
      </c>
      <c r="AD29" s="975" t="s">
        <v>438</v>
      </c>
      <c r="AE29" s="974" t="s">
        <v>439</v>
      </c>
      <c r="AF29" s="974" t="s">
        <v>440</v>
      </c>
      <c r="AG29" s="974" t="s">
        <v>441</v>
      </c>
      <c r="AH29" s="974" t="s">
        <v>442</v>
      </c>
      <c r="AI29" s="974" t="s">
        <v>201</v>
      </c>
      <c r="AJ29" s="974" t="s">
        <v>443</v>
      </c>
      <c r="AK29" s="974" t="s">
        <v>344</v>
      </c>
      <c r="AL29" s="974" t="s">
        <v>367</v>
      </c>
      <c r="AM29" s="974"/>
      <c r="AN29" s="148"/>
      <c r="AO29" s="148"/>
      <c r="AP29" s="148"/>
      <c r="AQ29" s="148"/>
      <c r="AR29" s="148"/>
      <c r="AS29" s="148"/>
      <c r="AT29" s="148"/>
      <c r="AU29" s="148"/>
      <c r="AV29" s="111"/>
      <c r="AW29" s="111"/>
      <c r="AX29" s="111"/>
    </row>
    <row r="30" spans="1:51" ht="38.25" customHeight="1" x14ac:dyDescent="0.25">
      <c r="A30" s="915"/>
      <c r="B30" s="915"/>
      <c r="C30" s="966"/>
      <c r="D30" s="966"/>
      <c r="E30" s="966"/>
      <c r="F30" s="966"/>
      <c r="G30" s="966"/>
      <c r="H30" s="984"/>
      <c r="I30" s="377"/>
      <c r="J30" s="377"/>
      <c r="K30" s="373" t="s">
        <v>4</v>
      </c>
      <c r="L30" s="334" t="s">
        <v>5</v>
      </c>
      <c r="M30" s="334"/>
      <c r="N30" s="334"/>
      <c r="O30" s="334"/>
      <c r="P30" s="334"/>
      <c r="Q30" s="709" t="s">
        <v>4</v>
      </c>
      <c r="R30" s="710" t="s">
        <v>5</v>
      </c>
      <c r="S30" s="709" t="s">
        <v>4</v>
      </c>
      <c r="T30" s="710" t="s">
        <v>5</v>
      </c>
      <c r="U30" s="709" t="s">
        <v>4</v>
      </c>
      <c r="V30" s="710" t="s">
        <v>5</v>
      </c>
      <c r="W30" s="711" t="s">
        <v>4</v>
      </c>
      <c r="X30" s="712" t="s">
        <v>5</v>
      </c>
      <c r="Y30" s="982"/>
      <c r="Z30" s="979"/>
      <c r="AA30" s="978"/>
      <c r="AB30" s="878"/>
      <c r="AC30" s="976"/>
      <c r="AD30" s="976"/>
      <c r="AE30" s="864"/>
      <c r="AF30" s="864"/>
      <c r="AG30" s="864"/>
      <c r="AH30" s="864"/>
      <c r="AI30" s="864"/>
      <c r="AJ30" s="864"/>
      <c r="AK30" s="864"/>
      <c r="AL30" s="864"/>
      <c r="AM30" s="864"/>
      <c r="AN30" s="148"/>
      <c r="AO30" s="148"/>
      <c r="AP30" s="148"/>
      <c r="AQ30" s="148"/>
      <c r="AR30" s="148"/>
      <c r="AS30" s="148"/>
      <c r="AT30" s="148"/>
      <c r="AU30" s="148"/>
      <c r="AV30" s="111"/>
      <c r="AW30" s="111"/>
      <c r="AX30" s="111"/>
    </row>
    <row r="31" spans="1:51" x14ac:dyDescent="0.25">
      <c r="A31" s="135">
        <v>1</v>
      </c>
      <c r="B31" s="136" t="s">
        <v>163</v>
      </c>
      <c r="C31" s="362">
        <v>1964</v>
      </c>
      <c r="D31" s="362">
        <v>2</v>
      </c>
      <c r="E31" s="362">
        <v>16</v>
      </c>
      <c r="F31" s="363">
        <v>27</v>
      </c>
      <c r="G31" s="362">
        <v>635.25</v>
      </c>
      <c r="H31" s="362"/>
      <c r="I31" s="378"/>
      <c r="J31" s="378"/>
      <c r="K31" s="374">
        <v>10164</v>
      </c>
      <c r="L31" s="374">
        <v>9156.3700000000008</v>
      </c>
      <c r="M31" s="374"/>
      <c r="N31" s="374"/>
      <c r="O31" s="374"/>
      <c r="P31" s="374"/>
      <c r="Q31" s="374">
        <v>17787</v>
      </c>
      <c r="R31" s="374">
        <v>17393.97</v>
      </c>
      <c r="S31" s="374">
        <f>Q31/7*12</f>
        <v>30492</v>
      </c>
      <c r="T31" s="374"/>
      <c r="U31" s="374">
        <f>S31-Q31</f>
        <v>12705</v>
      </c>
      <c r="V31" s="374">
        <f>R7-T7</f>
        <v>10379.436769394262</v>
      </c>
      <c r="W31" s="380">
        <f>S31</f>
        <v>30492</v>
      </c>
      <c r="X31" s="380">
        <f>R31+V31</f>
        <v>27773.406769394263</v>
      </c>
      <c r="Y31" s="753">
        <f>Z31+AA31+AB31+AC31+AD31+AE31+AF31+AG31+AI31+AJ31+AK31</f>
        <v>0</v>
      </c>
      <c r="Z31" s="366"/>
      <c r="AA31" s="367"/>
      <c r="AB31" s="367"/>
      <c r="AC31" s="367"/>
      <c r="AD31" s="367"/>
      <c r="AE31" s="367"/>
      <c r="AF31" s="284"/>
      <c r="AG31" s="284"/>
      <c r="AH31" s="284"/>
      <c r="AI31" s="284"/>
      <c r="AJ31" s="239"/>
      <c r="AK31" s="239"/>
      <c r="AL31" s="233">
        <f>W31-Y31</f>
        <v>30492</v>
      </c>
      <c r="AM31" s="239"/>
      <c r="AN31" s="148"/>
      <c r="AO31" s="148"/>
      <c r="AP31" s="148"/>
      <c r="AQ31" s="148"/>
      <c r="AR31" s="148"/>
      <c r="AS31" s="148"/>
      <c r="AT31" s="148"/>
      <c r="AU31" s="148"/>
      <c r="AV31" s="111"/>
      <c r="AW31" s="111"/>
      <c r="AX31" s="111"/>
    </row>
    <row r="32" spans="1:51" x14ac:dyDescent="0.25">
      <c r="A32" s="135">
        <v>2</v>
      </c>
      <c r="B32" s="136" t="s">
        <v>164</v>
      </c>
      <c r="C32" s="369">
        <v>1965</v>
      </c>
      <c r="D32" s="369">
        <v>2</v>
      </c>
      <c r="E32" s="369">
        <v>16</v>
      </c>
      <c r="F32" s="370">
        <v>36</v>
      </c>
      <c r="G32" s="371">
        <v>632.16999999999996</v>
      </c>
      <c r="H32" s="371"/>
      <c r="I32" s="379"/>
      <c r="J32" s="379"/>
      <c r="K32" s="374">
        <v>10093.120000000001</v>
      </c>
      <c r="L32" s="374">
        <v>10732.35</v>
      </c>
      <c r="M32" s="374"/>
      <c r="N32" s="374"/>
      <c r="O32" s="374"/>
      <c r="P32" s="374"/>
      <c r="Q32" s="374">
        <v>17662.96</v>
      </c>
      <c r="R32" s="374">
        <v>18892.919999999998</v>
      </c>
      <c r="S32" s="374">
        <f t="shared" ref="S32:S44" si="10">Q32/7*12</f>
        <v>30279.359999999997</v>
      </c>
      <c r="T32" s="374"/>
      <c r="U32" s="374">
        <f t="shared" ref="U32:U44" si="11">S32-Q32</f>
        <v>12616.399999999998</v>
      </c>
      <c r="V32" s="374">
        <f t="shared" ref="V32:V44" si="12">R8-T8</f>
        <v>10808.657497760491</v>
      </c>
      <c r="W32" s="380">
        <f t="shared" ref="W32:W44" si="13">S32</f>
        <v>30279.359999999997</v>
      </c>
      <c r="X32" s="380">
        <f t="shared" ref="X32:X44" si="14">R32+V32</f>
        <v>29701.577497760489</v>
      </c>
      <c r="Y32" s="753">
        <f>Z32+AA32+AB32+AC32+AD32+AE32+AF32+AG32+AH32+AI32+AJ32+AK32</f>
        <v>0</v>
      </c>
      <c r="Z32" s="366"/>
      <c r="AA32" s="367"/>
      <c r="AB32" s="367"/>
      <c r="AC32" s="367"/>
      <c r="AD32" s="367"/>
      <c r="AE32" s="367"/>
      <c r="AF32" s="284"/>
      <c r="AG32" s="284"/>
      <c r="AH32" s="284"/>
      <c r="AI32" s="284"/>
      <c r="AJ32" s="239"/>
      <c r="AK32" s="239"/>
      <c r="AL32" s="233">
        <f t="shared" ref="AL32:AL45" si="15">W32-Y32</f>
        <v>30279.359999999997</v>
      </c>
      <c r="AM32" s="239"/>
      <c r="AN32" s="148"/>
      <c r="AO32" s="148"/>
      <c r="AP32" s="148"/>
      <c r="AQ32" s="148"/>
      <c r="AR32" s="148"/>
      <c r="AS32" s="148"/>
      <c r="AT32" s="148"/>
      <c r="AU32" s="148"/>
      <c r="AV32" s="111"/>
      <c r="AW32" s="111"/>
      <c r="AX32" s="111"/>
    </row>
    <row r="33" spans="1:50" x14ac:dyDescent="0.25">
      <c r="A33" s="135">
        <v>3</v>
      </c>
      <c r="B33" s="136" t="s">
        <v>165</v>
      </c>
      <c r="C33" s="369">
        <v>1967</v>
      </c>
      <c r="D33" s="369">
        <v>2</v>
      </c>
      <c r="E33" s="369">
        <v>16</v>
      </c>
      <c r="F33" s="363">
        <v>36</v>
      </c>
      <c r="G33" s="371">
        <v>731.33</v>
      </c>
      <c r="H33" s="371"/>
      <c r="I33" s="379"/>
      <c r="J33" s="379"/>
      <c r="K33" s="374">
        <v>5938.28</v>
      </c>
      <c r="L33" s="374">
        <v>5431.17</v>
      </c>
      <c r="M33" s="374"/>
      <c r="N33" s="374"/>
      <c r="O33" s="374"/>
      <c r="P33" s="374"/>
      <c r="Q33" s="374">
        <v>10391.99</v>
      </c>
      <c r="R33" s="374">
        <v>10287.530000000001</v>
      </c>
      <c r="S33" s="374">
        <f t="shared" si="10"/>
        <v>17814.84</v>
      </c>
      <c r="T33" s="374"/>
      <c r="U33" s="374">
        <f t="shared" si="11"/>
        <v>7422.85</v>
      </c>
      <c r="V33" s="374">
        <f t="shared" si="12"/>
        <v>6151.8041561506107</v>
      </c>
      <c r="W33" s="380">
        <f t="shared" si="13"/>
        <v>17814.84</v>
      </c>
      <c r="X33" s="380">
        <f t="shared" si="14"/>
        <v>16439.334156150609</v>
      </c>
      <c r="Y33" s="753">
        <f>Z33+AA33+AB33+AC33+AD33+AE33+AF33+AG33+AH33+AI33+AJ33+AK33</f>
        <v>19967.599999999999</v>
      </c>
      <c r="Z33" s="366"/>
      <c r="AA33" s="367">
        <f>15000+3092</f>
        <v>18092</v>
      </c>
      <c r="AB33" s="367"/>
      <c r="AC33" s="367"/>
      <c r="AD33" s="367"/>
      <c r="AE33" s="367"/>
      <c r="AF33" s="284">
        <v>1875.6</v>
      </c>
      <c r="AG33" s="284"/>
      <c r="AH33" s="284"/>
      <c r="AI33" s="284"/>
      <c r="AJ33" s="239"/>
      <c r="AK33" s="239"/>
      <c r="AL33" s="233">
        <f t="shared" si="15"/>
        <v>-2152.7599999999984</v>
      </c>
      <c r="AM33" s="239"/>
      <c r="AN33" s="148"/>
      <c r="AO33" s="148"/>
      <c r="AP33" s="148"/>
      <c r="AQ33" s="148"/>
      <c r="AR33" s="148"/>
      <c r="AS33" s="148"/>
      <c r="AT33" s="148"/>
      <c r="AU33" s="148"/>
      <c r="AV33" s="111"/>
      <c r="AW33" s="111"/>
      <c r="AX33" s="111"/>
    </row>
    <row r="34" spans="1:50" x14ac:dyDescent="0.25">
      <c r="A34" s="135">
        <v>4</v>
      </c>
      <c r="B34" s="136" t="s">
        <v>166</v>
      </c>
      <c r="C34" s="369">
        <v>1974</v>
      </c>
      <c r="D34" s="369">
        <v>2</v>
      </c>
      <c r="E34" s="369">
        <v>18</v>
      </c>
      <c r="F34" s="370">
        <v>43</v>
      </c>
      <c r="G34" s="371">
        <v>866.6</v>
      </c>
      <c r="H34" s="371"/>
      <c r="I34" s="379"/>
      <c r="J34" s="379"/>
      <c r="K34" s="374">
        <v>14004.24</v>
      </c>
      <c r="L34" s="374">
        <v>14377.24</v>
      </c>
      <c r="M34" s="374"/>
      <c r="N34" s="374"/>
      <c r="O34" s="374"/>
      <c r="P34" s="374"/>
      <c r="Q34" s="374">
        <v>24507.42</v>
      </c>
      <c r="R34" s="374">
        <v>28326.91</v>
      </c>
      <c r="S34" s="374">
        <f t="shared" si="10"/>
        <v>42012.72</v>
      </c>
      <c r="T34" s="374"/>
      <c r="U34" s="374">
        <f t="shared" si="11"/>
        <v>17505.300000000003</v>
      </c>
      <c r="V34" s="374">
        <f t="shared" si="12"/>
        <v>16936.470304026428</v>
      </c>
      <c r="W34" s="380">
        <f t="shared" si="13"/>
        <v>42012.72</v>
      </c>
      <c r="X34" s="380">
        <f t="shared" si="14"/>
        <v>45263.380304026432</v>
      </c>
      <c r="Y34" s="753">
        <f t="shared" ref="Y34:Y44" si="16">Z34+AA34+AB34+AC34+AD34+AE34+AF34+AG34+AH34+AI34+AJ34+AK34</f>
        <v>28954.719999999998</v>
      </c>
      <c r="Z34" s="366"/>
      <c r="AA34" s="367">
        <f>22500+3092</f>
        <v>25592</v>
      </c>
      <c r="AB34" s="367"/>
      <c r="AC34" s="367"/>
      <c r="AD34" s="367"/>
      <c r="AE34" s="367">
        <v>1487.12</v>
      </c>
      <c r="AF34" s="284">
        <v>1875.6</v>
      </c>
      <c r="AG34" s="284"/>
      <c r="AH34" s="284"/>
      <c r="AI34" s="284"/>
      <c r="AJ34" s="239"/>
      <c r="AK34" s="239"/>
      <c r="AL34" s="233">
        <f t="shared" si="15"/>
        <v>13058.000000000004</v>
      </c>
      <c r="AM34" s="239"/>
      <c r="AN34" s="148"/>
      <c r="AO34" s="148"/>
      <c r="AP34" s="148"/>
      <c r="AQ34" s="148"/>
      <c r="AR34" s="148"/>
      <c r="AS34" s="148"/>
      <c r="AT34" s="148"/>
      <c r="AU34" s="148"/>
      <c r="AV34" s="111"/>
      <c r="AW34" s="111"/>
      <c r="AX34" s="111"/>
    </row>
    <row r="35" spans="1:50" x14ac:dyDescent="0.25">
      <c r="A35" s="135">
        <v>5</v>
      </c>
      <c r="B35" s="136" t="s">
        <v>167</v>
      </c>
      <c r="C35" s="369">
        <v>1976</v>
      </c>
      <c r="D35" s="369">
        <v>2</v>
      </c>
      <c r="E35" s="369">
        <v>18</v>
      </c>
      <c r="F35" s="363">
        <v>44</v>
      </c>
      <c r="G35" s="371">
        <v>865.3</v>
      </c>
      <c r="H35" s="371"/>
      <c r="I35" s="379"/>
      <c r="J35" s="379"/>
      <c r="K35" s="374">
        <v>13983.24</v>
      </c>
      <c r="L35" s="374">
        <v>13621.27</v>
      </c>
      <c r="M35" s="374"/>
      <c r="N35" s="374"/>
      <c r="O35" s="374"/>
      <c r="P35" s="374"/>
      <c r="Q35" s="374">
        <v>24470.67</v>
      </c>
      <c r="R35" s="374">
        <v>26516.86</v>
      </c>
      <c r="S35" s="374">
        <f t="shared" si="10"/>
        <v>41949.72</v>
      </c>
      <c r="T35" s="374"/>
      <c r="U35" s="374">
        <f t="shared" si="11"/>
        <v>17479.050000000003</v>
      </c>
      <c r="V35" s="374">
        <f t="shared" si="12"/>
        <v>16501.647698891087</v>
      </c>
      <c r="W35" s="380">
        <f t="shared" si="13"/>
        <v>41949.72</v>
      </c>
      <c r="X35" s="380">
        <f t="shared" si="14"/>
        <v>43018.507698891088</v>
      </c>
      <c r="Y35" s="753">
        <f t="shared" si="16"/>
        <v>39841.740000000005</v>
      </c>
      <c r="Z35" s="366"/>
      <c r="AA35" s="367">
        <f>22500+4638</f>
        <v>27138</v>
      </c>
      <c r="AB35" s="367"/>
      <c r="AC35" s="367">
        <v>2052.23</v>
      </c>
      <c r="AD35" s="367">
        <v>4747.13</v>
      </c>
      <c r="AE35" s="367">
        <v>1676.48</v>
      </c>
      <c r="AF35" s="284">
        <f>2137.75+920.8</f>
        <v>3058.55</v>
      </c>
      <c r="AG35" s="284">
        <v>1169.3499999999999</v>
      </c>
      <c r="AH35" s="284"/>
      <c r="AI35" s="284"/>
      <c r="AJ35" s="239"/>
      <c r="AK35" s="239"/>
      <c r="AL35" s="233">
        <f t="shared" si="15"/>
        <v>2107.9799999999959</v>
      </c>
      <c r="AM35" s="239"/>
      <c r="AN35" s="148"/>
      <c r="AO35" s="148"/>
      <c r="AP35" s="148"/>
      <c r="AQ35" s="148"/>
      <c r="AR35" s="148"/>
      <c r="AS35" s="148"/>
      <c r="AT35" s="148"/>
      <c r="AU35" s="148"/>
      <c r="AV35" s="111"/>
      <c r="AW35" s="111"/>
      <c r="AX35" s="111"/>
    </row>
    <row r="36" spans="1:50" x14ac:dyDescent="0.25">
      <c r="A36" s="135">
        <v>6</v>
      </c>
      <c r="B36" s="136" t="s">
        <v>168</v>
      </c>
      <c r="C36" s="369">
        <v>1970</v>
      </c>
      <c r="D36" s="369">
        <v>2</v>
      </c>
      <c r="E36" s="369">
        <v>16</v>
      </c>
      <c r="F36" s="370">
        <v>44</v>
      </c>
      <c r="G36" s="371">
        <v>710.36</v>
      </c>
      <c r="H36" s="371"/>
      <c r="I36" s="379"/>
      <c r="J36" s="379"/>
      <c r="K36" s="374">
        <v>11453.44</v>
      </c>
      <c r="L36" s="374">
        <v>9966.5400000000009</v>
      </c>
      <c r="M36" s="374"/>
      <c r="N36" s="374"/>
      <c r="O36" s="374"/>
      <c r="P36" s="374"/>
      <c r="Q36" s="374">
        <v>34360.32</v>
      </c>
      <c r="R36" s="374">
        <v>30325.21</v>
      </c>
      <c r="S36" s="374">
        <f t="shared" si="10"/>
        <v>58903.405714285705</v>
      </c>
      <c r="T36" s="374"/>
      <c r="U36" s="374">
        <f t="shared" si="11"/>
        <v>24543.085714285706</v>
      </c>
      <c r="V36" s="374">
        <f t="shared" si="12"/>
        <v>21551.039763061133</v>
      </c>
      <c r="W36" s="380">
        <f t="shared" si="13"/>
        <v>58903.405714285705</v>
      </c>
      <c r="X36" s="380">
        <f t="shared" si="14"/>
        <v>51876.249763061132</v>
      </c>
      <c r="Y36" s="753">
        <f t="shared" si="16"/>
        <v>21158.66</v>
      </c>
      <c r="Z36" s="366"/>
      <c r="AA36" s="367">
        <f>15000+3092</f>
        <v>18092</v>
      </c>
      <c r="AB36" s="367"/>
      <c r="AC36" s="367">
        <v>253.26</v>
      </c>
      <c r="AD36" s="367"/>
      <c r="AE36" s="367"/>
      <c r="AF36" s="284">
        <v>2813.4</v>
      </c>
      <c r="AG36" s="284"/>
      <c r="AH36" s="284"/>
      <c r="AI36" s="284"/>
      <c r="AJ36" s="239"/>
      <c r="AK36" s="239"/>
      <c r="AL36" s="233">
        <f t="shared" si="15"/>
        <v>37744.745714285702</v>
      </c>
      <c r="AM36" s="239"/>
      <c r="AN36" s="148"/>
      <c r="AO36" s="148"/>
      <c r="AP36" s="148"/>
      <c r="AQ36" s="148"/>
      <c r="AR36" s="148"/>
      <c r="AS36" s="148"/>
      <c r="AT36" s="148"/>
      <c r="AU36" s="148"/>
      <c r="AV36" s="111"/>
      <c r="AW36" s="111"/>
      <c r="AX36" s="111"/>
    </row>
    <row r="37" spans="1:50" x14ac:dyDescent="0.25">
      <c r="A37" s="135">
        <v>7</v>
      </c>
      <c r="B37" s="136" t="s">
        <v>169</v>
      </c>
      <c r="C37" s="369">
        <v>1973</v>
      </c>
      <c r="D37" s="369">
        <v>2</v>
      </c>
      <c r="E37" s="369">
        <v>18</v>
      </c>
      <c r="F37" s="363">
        <v>40</v>
      </c>
      <c r="G37" s="371">
        <v>773.51</v>
      </c>
      <c r="H37" s="371"/>
      <c r="I37" s="379"/>
      <c r="J37" s="379"/>
      <c r="K37" s="374">
        <v>12379.84</v>
      </c>
      <c r="L37" s="374">
        <v>10790.43</v>
      </c>
      <c r="M37" s="374"/>
      <c r="N37" s="374"/>
      <c r="O37" s="374"/>
      <c r="P37" s="374"/>
      <c r="Q37" s="374">
        <v>21694.92</v>
      </c>
      <c r="R37" s="374">
        <v>24556.1</v>
      </c>
      <c r="S37" s="374">
        <f t="shared" si="10"/>
        <v>37191.291428571421</v>
      </c>
      <c r="T37" s="374"/>
      <c r="U37" s="374">
        <f t="shared" si="11"/>
        <v>15496.371428571423</v>
      </c>
      <c r="V37" s="374">
        <f t="shared" si="12"/>
        <v>13429.297453513456</v>
      </c>
      <c r="W37" s="380">
        <f t="shared" si="13"/>
        <v>37191.291428571421</v>
      </c>
      <c r="X37" s="380">
        <f t="shared" si="14"/>
        <v>37985.397453513455</v>
      </c>
      <c r="Y37" s="753">
        <f t="shared" si="16"/>
        <v>5147.76</v>
      </c>
      <c r="Z37" s="366"/>
      <c r="AA37" s="367"/>
      <c r="AB37" s="367">
        <v>3484.56</v>
      </c>
      <c r="AC37" s="367"/>
      <c r="AD37" s="367"/>
      <c r="AE37" s="367"/>
      <c r="AF37" s="284"/>
      <c r="AG37" s="284"/>
      <c r="AH37" s="284">
        <v>1663.2</v>
      </c>
      <c r="AI37" s="284"/>
      <c r="AJ37" s="239"/>
      <c r="AK37" s="239"/>
      <c r="AL37" s="233">
        <f t="shared" si="15"/>
        <v>32043.531428571419</v>
      </c>
      <c r="AM37" s="239"/>
      <c r="AN37" s="148"/>
      <c r="AO37" s="148"/>
      <c r="AP37" s="148"/>
      <c r="AQ37" s="148"/>
      <c r="AR37" s="148"/>
      <c r="AS37" s="148"/>
      <c r="AT37" s="148"/>
      <c r="AU37" s="148"/>
      <c r="AV37" s="111"/>
      <c r="AW37" s="111"/>
      <c r="AX37" s="111"/>
    </row>
    <row r="38" spans="1:50" x14ac:dyDescent="0.25">
      <c r="A38" s="135">
        <v>8</v>
      </c>
      <c r="B38" s="136" t="s">
        <v>170</v>
      </c>
      <c r="C38" s="369">
        <v>1974</v>
      </c>
      <c r="D38" s="369">
        <v>2</v>
      </c>
      <c r="E38" s="369">
        <v>18</v>
      </c>
      <c r="F38" s="370">
        <v>49</v>
      </c>
      <c r="G38" s="371">
        <v>779.68</v>
      </c>
      <c r="H38" s="371"/>
      <c r="I38" s="379"/>
      <c r="J38" s="379"/>
      <c r="K38" s="374">
        <v>12471.52</v>
      </c>
      <c r="L38" s="374">
        <v>8565.6</v>
      </c>
      <c r="M38" s="374"/>
      <c r="N38" s="374"/>
      <c r="O38" s="374"/>
      <c r="P38" s="374"/>
      <c r="Q38" s="374">
        <v>21825.16</v>
      </c>
      <c r="R38" s="374">
        <v>23104.38</v>
      </c>
      <c r="S38" s="374">
        <f t="shared" si="10"/>
        <v>37414.559999999998</v>
      </c>
      <c r="T38" s="374"/>
      <c r="U38" s="374">
        <f t="shared" si="11"/>
        <v>15589.399999999998</v>
      </c>
      <c r="V38" s="374">
        <f t="shared" si="12"/>
        <v>13089.006669887196</v>
      </c>
      <c r="W38" s="380">
        <f t="shared" si="13"/>
        <v>37414.559999999998</v>
      </c>
      <c r="X38" s="380">
        <f t="shared" si="14"/>
        <v>36193.386669887201</v>
      </c>
      <c r="Y38" s="753">
        <f t="shared" si="16"/>
        <v>36134.99</v>
      </c>
      <c r="Z38" s="366">
        <v>6600</v>
      </c>
      <c r="AA38" s="367">
        <f>22500+3092</f>
        <v>25592</v>
      </c>
      <c r="AB38" s="367">
        <v>3942.99</v>
      </c>
      <c r="AC38" s="367"/>
      <c r="AD38" s="367"/>
      <c r="AE38" s="367"/>
      <c r="AF38" s="284"/>
      <c r="AG38" s="284"/>
      <c r="AH38" s="284"/>
      <c r="AI38" s="284"/>
      <c r="AJ38" s="239"/>
      <c r="AK38" s="239"/>
      <c r="AL38" s="233">
        <f t="shared" si="15"/>
        <v>1279.5699999999997</v>
      </c>
      <c r="AM38" s="239"/>
      <c r="AN38" s="148"/>
      <c r="AO38" s="148"/>
      <c r="AP38" s="148"/>
      <c r="AQ38" s="148"/>
      <c r="AR38" s="148"/>
      <c r="AS38" s="148"/>
      <c r="AT38" s="148"/>
      <c r="AU38" s="148"/>
      <c r="AV38" s="111"/>
      <c r="AW38" s="111"/>
      <c r="AX38" s="111"/>
    </row>
    <row r="39" spans="1:50" x14ac:dyDescent="0.25">
      <c r="A39" s="135">
        <v>9</v>
      </c>
      <c r="B39" s="136" t="s">
        <v>171</v>
      </c>
      <c r="C39" s="369">
        <v>1973</v>
      </c>
      <c r="D39" s="369">
        <v>2</v>
      </c>
      <c r="E39" s="369">
        <v>18</v>
      </c>
      <c r="F39" s="372">
        <v>50</v>
      </c>
      <c r="G39" s="371">
        <v>776.87</v>
      </c>
      <c r="H39" s="371"/>
      <c r="I39" s="379"/>
      <c r="J39" s="379"/>
      <c r="K39" s="374">
        <v>12426.88</v>
      </c>
      <c r="L39" s="374">
        <v>9611.44</v>
      </c>
      <c r="M39" s="374"/>
      <c r="N39" s="374"/>
      <c r="O39" s="374"/>
      <c r="P39" s="374"/>
      <c r="Q39" s="374">
        <v>21747.040000000001</v>
      </c>
      <c r="R39" s="374">
        <v>20102.13</v>
      </c>
      <c r="S39" s="374">
        <f t="shared" si="10"/>
        <v>37280.639999999999</v>
      </c>
      <c r="T39" s="374"/>
      <c r="U39" s="374">
        <f t="shared" si="11"/>
        <v>15533.599999999999</v>
      </c>
      <c r="V39" s="374">
        <f t="shared" si="12"/>
        <v>12012.472162019782</v>
      </c>
      <c r="W39" s="380">
        <f t="shared" si="13"/>
        <v>37280.639999999999</v>
      </c>
      <c r="X39" s="380">
        <f t="shared" si="14"/>
        <v>32114.602162019783</v>
      </c>
      <c r="Y39" s="753">
        <f t="shared" si="16"/>
        <v>30852.89</v>
      </c>
      <c r="Z39" s="366"/>
      <c r="AA39" s="367">
        <f>22500+4638</f>
        <v>27138</v>
      </c>
      <c r="AB39" s="367">
        <v>3714.89</v>
      </c>
      <c r="AC39" s="367"/>
      <c r="AD39" s="367"/>
      <c r="AE39" s="367"/>
      <c r="AF39" s="284"/>
      <c r="AG39" s="284"/>
      <c r="AH39" s="284"/>
      <c r="AI39" s="284"/>
      <c r="AJ39" s="239"/>
      <c r="AK39" s="239"/>
      <c r="AL39" s="233">
        <f t="shared" si="15"/>
        <v>6427.75</v>
      </c>
      <c r="AM39" s="239"/>
      <c r="AN39" s="148"/>
      <c r="AO39" s="148"/>
      <c r="AP39" s="148"/>
      <c r="AQ39" s="148"/>
      <c r="AR39" s="148"/>
      <c r="AS39" s="148"/>
      <c r="AT39" s="148"/>
      <c r="AU39" s="148"/>
      <c r="AV39" s="111"/>
      <c r="AW39" s="111"/>
      <c r="AX39" s="111"/>
    </row>
    <row r="40" spans="1:50" x14ac:dyDescent="0.25">
      <c r="A40" s="135">
        <v>10</v>
      </c>
      <c r="B40" s="136" t="s">
        <v>172</v>
      </c>
      <c r="C40" s="369">
        <v>1988</v>
      </c>
      <c r="D40" s="369">
        <v>5</v>
      </c>
      <c r="E40" s="369">
        <v>60</v>
      </c>
      <c r="F40" s="370">
        <v>161</v>
      </c>
      <c r="G40" s="371">
        <v>3167</v>
      </c>
      <c r="H40" s="371">
        <v>210</v>
      </c>
      <c r="I40" s="379"/>
      <c r="J40" s="379"/>
      <c r="K40" s="374">
        <v>85129</v>
      </c>
      <c r="L40" s="374">
        <v>71065.740000000005</v>
      </c>
      <c r="M40" s="374"/>
      <c r="N40" s="374"/>
      <c r="O40" s="374"/>
      <c r="P40" s="374"/>
      <c r="Q40" s="374">
        <v>88676</v>
      </c>
      <c r="R40" s="374">
        <v>98536.9</v>
      </c>
      <c r="S40" s="374">
        <f t="shared" si="10"/>
        <v>152016</v>
      </c>
      <c r="T40" s="374"/>
      <c r="U40" s="374">
        <f t="shared" si="11"/>
        <v>63340</v>
      </c>
      <c r="V40" s="374">
        <f t="shared" si="12"/>
        <v>55267.850328480941</v>
      </c>
      <c r="W40" s="380">
        <f t="shared" si="13"/>
        <v>152016</v>
      </c>
      <c r="X40" s="380">
        <f t="shared" si="14"/>
        <v>153804.75032848094</v>
      </c>
      <c r="Y40" s="753">
        <f t="shared" si="16"/>
        <v>52553.33</v>
      </c>
      <c r="Z40" s="366"/>
      <c r="AA40" s="367">
        <f>30000+4638</f>
        <v>34638</v>
      </c>
      <c r="AB40" s="367"/>
      <c r="AC40" s="367">
        <v>253.26</v>
      </c>
      <c r="AD40" s="367">
        <v>11955.64</v>
      </c>
      <c r="AE40" s="367">
        <f>4718.03+988.4</f>
        <v>5706.4299999999994</v>
      </c>
      <c r="AF40" s="284"/>
      <c r="AG40" s="284"/>
      <c r="AH40" s="284"/>
      <c r="AI40" s="284"/>
      <c r="AJ40" s="239"/>
      <c r="AK40" s="239"/>
      <c r="AL40" s="233">
        <f t="shared" si="15"/>
        <v>99462.67</v>
      </c>
      <c r="AM40" s="239"/>
      <c r="AN40" s="148"/>
      <c r="AO40" s="148"/>
      <c r="AP40" s="148"/>
      <c r="AQ40" s="148"/>
      <c r="AR40" s="148"/>
      <c r="AS40" s="148"/>
      <c r="AT40" s="148"/>
      <c r="AU40" s="148"/>
      <c r="AV40" s="111"/>
      <c r="AW40" s="111"/>
      <c r="AX40" s="111"/>
    </row>
    <row r="41" spans="1:50" x14ac:dyDescent="0.25">
      <c r="A41" s="135">
        <v>11</v>
      </c>
      <c r="B41" s="136" t="s">
        <v>173</v>
      </c>
      <c r="C41" s="369">
        <v>1979</v>
      </c>
      <c r="D41" s="369">
        <v>5</v>
      </c>
      <c r="E41" s="369">
        <v>60</v>
      </c>
      <c r="F41" s="363">
        <v>166</v>
      </c>
      <c r="G41" s="371">
        <v>3217.9</v>
      </c>
      <c r="H41" s="371">
        <v>210</v>
      </c>
      <c r="I41" s="379"/>
      <c r="J41" s="379"/>
      <c r="K41" s="374">
        <v>77229.600000000006</v>
      </c>
      <c r="L41" s="374">
        <v>68749.210000000006</v>
      </c>
      <c r="M41" s="374"/>
      <c r="N41" s="374"/>
      <c r="O41" s="374"/>
      <c r="P41" s="374"/>
      <c r="Q41" s="374">
        <v>135151.79999999999</v>
      </c>
      <c r="R41" s="374">
        <v>146505.60000000001</v>
      </c>
      <c r="S41" s="374">
        <f t="shared" si="10"/>
        <v>231688.8</v>
      </c>
      <c r="T41" s="374"/>
      <c r="U41" s="374">
        <f t="shared" si="11"/>
        <v>96537</v>
      </c>
      <c r="V41" s="374">
        <f t="shared" si="12"/>
        <v>84809.716595036269</v>
      </c>
      <c r="W41" s="380">
        <f t="shared" si="13"/>
        <v>231688.8</v>
      </c>
      <c r="X41" s="380">
        <f t="shared" si="14"/>
        <v>231315.31659503627</v>
      </c>
      <c r="Y41" s="753">
        <f t="shared" si="16"/>
        <v>254239.96000000002</v>
      </c>
      <c r="Z41" s="366"/>
      <c r="AA41" s="367">
        <f>30000+4638</f>
        <v>34638</v>
      </c>
      <c r="AB41" s="367">
        <f>9907.97+629</f>
        <v>10536.97</v>
      </c>
      <c r="AC41" s="367"/>
      <c r="AD41" s="367"/>
      <c r="AE41" s="367">
        <v>4211.59</v>
      </c>
      <c r="AF41" s="284"/>
      <c r="AG41" s="284">
        <f>3652.01+10456.83</f>
        <v>14108.84</v>
      </c>
      <c r="AH41" s="284"/>
      <c r="AI41" s="284">
        <f>88233.21+96989</f>
        <v>185222.21000000002</v>
      </c>
      <c r="AJ41" s="239">
        <f>2357.23+1099.71</f>
        <v>3456.94</v>
      </c>
      <c r="AK41" s="239">
        <v>2065.41</v>
      </c>
      <c r="AL41" s="233">
        <f t="shared" si="15"/>
        <v>-22551.160000000033</v>
      </c>
      <c r="AM41" s="239"/>
      <c r="AN41" s="148"/>
      <c r="AO41" s="148"/>
      <c r="AP41" s="148"/>
      <c r="AQ41" s="148"/>
      <c r="AR41" s="148"/>
      <c r="AS41" s="148"/>
      <c r="AT41" s="148"/>
      <c r="AU41" s="148"/>
      <c r="AV41" s="111"/>
      <c r="AW41" s="111"/>
      <c r="AX41" s="111"/>
    </row>
    <row r="42" spans="1:50" x14ac:dyDescent="0.25">
      <c r="A42" s="135">
        <v>12</v>
      </c>
      <c r="B42" s="136" t="s">
        <v>174</v>
      </c>
      <c r="C42" s="369">
        <v>1980</v>
      </c>
      <c r="D42" s="369">
        <v>5</v>
      </c>
      <c r="E42" s="369">
        <v>60</v>
      </c>
      <c r="F42" s="370">
        <v>153</v>
      </c>
      <c r="G42" s="371">
        <v>3257.1</v>
      </c>
      <c r="H42" s="371">
        <v>210</v>
      </c>
      <c r="I42" s="379"/>
      <c r="J42" s="379"/>
      <c r="K42" s="374">
        <v>52113.599999999999</v>
      </c>
      <c r="L42" s="374">
        <v>36980.129999999997</v>
      </c>
      <c r="M42" s="374"/>
      <c r="N42" s="374"/>
      <c r="O42" s="374"/>
      <c r="P42" s="374"/>
      <c r="Q42" s="374">
        <v>91198.8</v>
      </c>
      <c r="R42" s="374">
        <v>96239.28</v>
      </c>
      <c r="S42" s="374">
        <f t="shared" si="10"/>
        <v>156340.79999999999</v>
      </c>
      <c r="T42" s="374"/>
      <c r="U42" s="374">
        <f t="shared" si="11"/>
        <v>65141.999999999985</v>
      </c>
      <c r="V42" s="374">
        <f t="shared" si="12"/>
        <v>53980.37222388963</v>
      </c>
      <c r="W42" s="380">
        <f t="shared" si="13"/>
        <v>156340.79999999999</v>
      </c>
      <c r="X42" s="380">
        <f t="shared" si="14"/>
        <v>150219.65222388963</v>
      </c>
      <c r="Y42" s="753">
        <f t="shared" si="16"/>
        <v>46717.570000000007</v>
      </c>
      <c r="Z42" s="366">
        <f>11000+757.37</f>
        <v>11757.37</v>
      </c>
      <c r="AA42" s="367"/>
      <c r="AB42" s="367">
        <v>9219.9599999999991</v>
      </c>
      <c r="AC42" s="367"/>
      <c r="AD42" s="367"/>
      <c r="AE42" s="367">
        <v>7557.53</v>
      </c>
      <c r="AF42" s="284"/>
      <c r="AG42" s="284">
        <f>4553.17+9119.34</f>
        <v>13672.51</v>
      </c>
      <c r="AH42" s="284">
        <f>3110.28+1399.92</f>
        <v>4510.2000000000007</v>
      </c>
      <c r="AI42" s="284"/>
      <c r="AJ42" s="239"/>
      <c r="AK42" s="239"/>
      <c r="AL42" s="233">
        <f t="shared" si="15"/>
        <v>109623.22999999998</v>
      </c>
      <c r="AM42" s="239"/>
      <c r="AN42" s="148"/>
      <c r="AO42" s="148"/>
      <c r="AP42" s="148"/>
      <c r="AQ42" s="148"/>
      <c r="AR42" s="148"/>
      <c r="AS42" s="148"/>
      <c r="AT42" s="148"/>
      <c r="AU42" s="148"/>
      <c r="AV42" s="111"/>
      <c r="AW42" s="111"/>
      <c r="AX42" s="111"/>
    </row>
    <row r="43" spans="1:50" x14ac:dyDescent="0.25">
      <c r="A43" s="135">
        <v>13</v>
      </c>
      <c r="B43" s="136" t="s">
        <v>175</v>
      </c>
      <c r="C43" s="369">
        <v>1978</v>
      </c>
      <c r="D43" s="369">
        <v>3</v>
      </c>
      <c r="E43" s="369">
        <v>24</v>
      </c>
      <c r="F43" s="363">
        <v>71</v>
      </c>
      <c r="G43" s="371">
        <v>1444.2</v>
      </c>
      <c r="H43" s="371">
        <v>176.8</v>
      </c>
      <c r="I43" s="379"/>
      <c r="J43" s="379"/>
      <c r="K43" s="374">
        <v>23107.200000000001</v>
      </c>
      <c r="L43" s="374">
        <v>18306.13</v>
      </c>
      <c r="M43" s="374"/>
      <c r="N43" s="374"/>
      <c r="O43" s="374"/>
      <c r="P43" s="374"/>
      <c r="Q43" s="374">
        <v>40437.599999999999</v>
      </c>
      <c r="R43" s="374">
        <v>43748.6</v>
      </c>
      <c r="S43" s="374">
        <f t="shared" si="10"/>
        <v>69321.600000000006</v>
      </c>
      <c r="T43" s="374"/>
      <c r="U43" s="374">
        <f t="shared" si="11"/>
        <v>28884.000000000007</v>
      </c>
      <c r="V43" s="374">
        <f t="shared" si="12"/>
        <v>25504.162655663444</v>
      </c>
      <c r="W43" s="380">
        <f t="shared" si="13"/>
        <v>69321.600000000006</v>
      </c>
      <c r="X43" s="380">
        <f t="shared" si="14"/>
        <v>69252.76265566345</v>
      </c>
      <c r="Y43" s="753">
        <f t="shared" si="16"/>
        <v>9105.27</v>
      </c>
      <c r="Z43" s="366">
        <f>6600+757.37</f>
        <v>7357.37</v>
      </c>
      <c r="AA43" s="367"/>
      <c r="AB43" s="367"/>
      <c r="AC43" s="367"/>
      <c r="AD43" s="367"/>
      <c r="AE43" s="367"/>
      <c r="AF43" s="284">
        <v>1747.9</v>
      </c>
      <c r="AG43" s="284"/>
      <c r="AH43" s="284"/>
      <c r="AI43" s="284"/>
      <c r="AJ43" s="239"/>
      <c r="AK43" s="239"/>
      <c r="AL43" s="233">
        <f t="shared" si="15"/>
        <v>60216.33</v>
      </c>
      <c r="AM43" s="239"/>
      <c r="AN43" s="148"/>
      <c r="AO43" s="148"/>
      <c r="AP43" s="148"/>
      <c r="AQ43" s="148"/>
      <c r="AR43" s="148"/>
      <c r="AS43" s="148"/>
      <c r="AT43" s="148"/>
      <c r="AU43" s="148"/>
      <c r="AV43" s="111"/>
      <c r="AW43" s="111"/>
      <c r="AX43" s="111"/>
    </row>
    <row r="44" spans="1:50" x14ac:dyDescent="0.25">
      <c r="A44" s="135">
        <v>14</v>
      </c>
      <c r="B44" s="136" t="s">
        <v>176</v>
      </c>
      <c r="C44" s="369">
        <v>1980</v>
      </c>
      <c r="D44" s="369">
        <v>3</v>
      </c>
      <c r="E44" s="369">
        <v>24</v>
      </c>
      <c r="F44" s="370">
        <v>71</v>
      </c>
      <c r="G44" s="371">
        <v>1444.3</v>
      </c>
      <c r="H44" s="371">
        <v>176.8</v>
      </c>
      <c r="I44" s="379"/>
      <c r="J44" s="379"/>
      <c r="K44" s="374">
        <v>23139.200000000001</v>
      </c>
      <c r="L44" s="374">
        <v>18954.75</v>
      </c>
      <c r="M44" s="374"/>
      <c r="N44" s="374"/>
      <c r="O44" s="374"/>
      <c r="P44" s="374"/>
      <c r="Q44" s="374">
        <v>40493.599999999999</v>
      </c>
      <c r="R44" s="374">
        <v>42301.35</v>
      </c>
      <c r="S44" s="374">
        <f t="shared" si="10"/>
        <v>69417.600000000006</v>
      </c>
      <c r="T44" s="374"/>
      <c r="U44" s="374">
        <f t="shared" si="11"/>
        <v>28924.000000000007</v>
      </c>
      <c r="V44" s="374">
        <f t="shared" si="12"/>
        <v>24774.008967942995</v>
      </c>
      <c r="W44" s="380">
        <f t="shared" si="13"/>
        <v>69417.600000000006</v>
      </c>
      <c r="X44" s="380">
        <f t="shared" si="14"/>
        <v>67075.358967943001</v>
      </c>
      <c r="Y44" s="753">
        <f t="shared" si="16"/>
        <v>12825.960000000001</v>
      </c>
      <c r="Z44" s="366"/>
      <c r="AA44" s="367">
        <v>1985.5</v>
      </c>
      <c r="AB44" s="367">
        <v>8990.6200000000008</v>
      </c>
      <c r="AC44" s="367"/>
      <c r="AD44" s="367"/>
      <c r="AE44" s="367"/>
      <c r="AF44" s="284"/>
      <c r="AG44" s="284"/>
      <c r="AH44" s="284">
        <v>1849.84</v>
      </c>
      <c r="AI44" s="284"/>
      <c r="AJ44" s="239"/>
      <c r="AK44" s="239"/>
      <c r="AL44" s="233">
        <f t="shared" si="15"/>
        <v>56591.640000000007</v>
      </c>
      <c r="AM44" s="239"/>
      <c r="AN44" s="148"/>
      <c r="AO44" s="148"/>
      <c r="AP44" s="148"/>
      <c r="AQ44" s="148"/>
      <c r="AR44" s="148"/>
      <c r="AS44" s="148"/>
      <c r="AT44" s="148"/>
      <c r="AU44" s="148"/>
      <c r="AV44" s="111"/>
      <c r="AW44" s="111"/>
      <c r="AX44" s="111"/>
    </row>
    <row r="45" spans="1:50" x14ac:dyDescent="0.25">
      <c r="A45" s="135"/>
      <c r="B45" s="167" t="s">
        <v>79</v>
      </c>
      <c r="C45" s="313"/>
      <c r="D45" s="313"/>
      <c r="E45" s="313">
        <f>SUM(E30:E44)</f>
        <v>382</v>
      </c>
      <c r="F45" s="313">
        <f>SUM(F31:F44)</f>
        <v>991</v>
      </c>
      <c r="G45" s="231">
        <f>SUM(G31:G44)</f>
        <v>19301.57</v>
      </c>
      <c r="H45" s="231">
        <f>SUM(H31:H44)</f>
        <v>983.59999999999991</v>
      </c>
      <c r="I45" s="361"/>
      <c r="J45" s="361"/>
      <c r="K45" s="375">
        <f>SUM(K31:K44)</f>
        <v>363633.16000000003</v>
      </c>
      <c r="L45" s="375">
        <f>SUM(L31:L44)</f>
        <v>306308.37000000005</v>
      </c>
      <c r="M45" s="375"/>
      <c r="N45" s="375"/>
      <c r="O45" s="375"/>
      <c r="P45" s="375"/>
      <c r="Q45" s="713">
        <f>SUM(Q31:Q44)</f>
        <v>590405.27999999991</v>
      </c>
      <c r="R45" s="713">
        <f t="shared" ref="R45:X45" si="17">SUM(R31:R44)</f>
        <v>626837.74</v>
      </c>
      <c r="S45" s="713">
        <f t="shared" si="17"/>
        <v>1012123.337142857</v>
      </c>
      <c r="T45" s="713">
        <f t="shared" si="17"/>
        <v>0</v>
      </c>
      <c r="U45" s="713">
        <f t="shared" si="17"/>
        <v>421718.05714285711</v>
      </c>
      <c r="V45" s="713">
        <f t="shared" si="17"/>
        <v>365195.94324571779</v>
      </c>
      <c r="W45" s="713">
        <f t="shared" si="17"/>
        <v>1012123.337142857</v>
      </c>
      <c r="X45" s="713">
        <f t="shared" si="17"/>
        <v>992033.68324571766</v>
      </c>
      <c r="Y45" s="755">
        <f>SUM(Y31:Y44)</f>
        <v>557500.44999999995</v>
      </c>
      <c r="Z45" s="622">
        <f t="shared" ref="Z45:AK45" si="18">SUM(Z31:Z44)</f>
        <v>25714.74</v>
      </c>
      <c r="AA45" s="622">
        <f t="shared" si="18"/>
        <v>212905.5</v>
      </c>
      <c r="AB45" s="622">
        <f t="shared" si="18"/>
        <v>39889.99</v>
      </c>
      <c r="AC45" s="622">
        <f t="shared" si="18"/>
        <v>2558.75</v>
      </c>
      <c r="AD45" s="622">
        <f t="shared" si="18"/>
        <v>16702.77</v>
      </c>
      <c r="AE45" s="622">
        <f t="shared" si="18"/>
        <v>20639.149999999998</v>
      </c>
      <c r="AF45" s="622">
        <f t="shared" si="18"/>
        <v>11371.05</v>
      </c>
      <c r="AG45" s="622">
        <f t="shared" si="18"/>
        <v>28950.7</v>
      </c>
      <c r="AH45" s="622">
        <f t="shared" si="18"/>
        <v>8023.2400000000007</v>
      </c>
      <c r="AI45" s="622">
        <f t="shared" si="18"/>
        <v>185222.21000000002</v>
      </c>
      <c r="AJ45" s="622">
        <f t="shared" si="18"/>
        <v>3456.94</v>
      </c>
      <c r="AK45" s="622">
        <f t="shared" si="18"/>
        <v>2065.41</v>
      </c>
      <c r="AL45" s="233">
        <f t="shared" si="15"/>
        <v>454622.88714285707</v>
      </c>
      <c r="AM45" s="622"/>
      <c r="AN45" s="148"/>
      <c r="AO45" s="148"/>
      <c r="AP45" s="148"/>
      <c r="AQ45" s="148"/>
      <c r="AR45" s="148"/>
      <c r="AS45" s="148"/>
      <c r="AT45" s="148"/>
      <c r="AU45" s="148"/>
      <c r="AV45" s="111"/>
      <c r="AW45" s="111"/>
      <c r="AX45" s="111"/>
    </row>
    <row r="46" spans="1:50" x14ac:dyDescent="0.25"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 t="s">
        <v>128</v>
      </c>
      <c r="AA46" s="148" t="s">
        <v>128</v>
      </c>
      <c r="AB46" s="148" t="s">
        <v>128</v>
      </c>
      <c r="AC46" s="148"/>
      <c r="AD46" s="148"/>
      <c r="AE46" s="148"/>
      <c r="AF46" s="148"/>
      <c r="AG46" s="148"/>
      <c r="AH46" s="148"/>
      <c r="AI46" s="148"/>
      <c r="AJ46" s="148"/>
      <c r="AK46" s="715"/>
      <c r="AL46" s="715"/>
      <c r="AM46" s="715"/>
      <c r="AN46" s="148"/>
      <c r="AO46" s="148"/>
      <c r="AP46" s="148"/>
      <c r="AQ46" s="148"/>
      <c r="AR46" s="148"/>
      <c r="AS46" s="148"/>
      <c r="AT46" s="148"/>
      <c r="AU46" s="148"/>
      <c r="AV46" s="111"/>
      <c r="AW46" s="111"/>
      <c r="AX46" s="111"/>
    </row>
    <row r="47" spans="1:50" x14ac:dyDescent="0.25"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677"/>
      <c r="AL47" s="677"/>
      <c r="AM47" s="677"/>
      <c r="AN47" s="148"/>
      <c r="AO47" s="148"/>
      <c r="AP47" s="148"/>
      <c r="AQ47" s="148"/>
      <c r="AR47" s="148"/>
      <c r="AS47" s="148"/>
      <c r="AT47" s="148"/>
      <c r="AU47" s="148"/>
    </row>
    <row r="48" spans="1:50" x14ac:dyDescent="0.25"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677"/>
      <c r="AL48" s="677"/>
      <c r="AM48" s="677"/>
      <c r="AN48" s="148"/>
      <c r="AO48" s="148"/>
      <c r="AP48" s="148"/>
      <c r="AQ48" s="148"/>
      <c r="AR48" s="148"/>
      <c r="AS48" s="148"/>
      <c r="AT48" s="148"/>
      <c r="AU48" s="148"/>
    </row>
    <row r="49" spans="1:50" x14ac:dyDescent="0.25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48"/>
      <c r="AI49" s="148"/>
      <c r="AJ49" s="148"/>
      <c r="AK49" s="677"/>
      <c r="AL49" s="677"/>
      <c r="AM49" s="677"/>
      <c r="AN49" s="148"/>
      <c r="AO49" s="148"/>
      <c r="AP49" s="148"/>
      <c r="AQ49" s="148"/>
      <c r="AR49" s="148"/>
      <c r="AS49" s="148"/>
      <c r="AT49" s="148"/>
      <c r="AU49" s="148"/>
    </row>
    <row r="50" spans="1:50" ht="18.75" customHeight="1" x14ac:dyDescent="0.25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48"/>
      <c r="AI50" s="148"/>
      <c r="AJ50" s="148"/>
      <c r="AK50" s="148"/>
      <c r="AL50" s="148"/>
      <c r="AM50" s="148"/>
      <c r="AN50" s="148"/>
      <c r="AO50" s="148"/>
      <c r="AP50" s="317"/>
      <c r="AQ50" s="317"/>
      <c r="AR50" s="317"/>
      <c r="AS50" s="317"/>
      <c r="AT50" s="317"/>
      <c r="AU50" s="148"/>
    </row>
    <row r="51" spans="1:50" ht="18.75" customHeight="1" x14ac:dyDescent="0.25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48"/>
      <c r="AI51" s="148"/>
      <c r="AJ51" s="148"/>
      <c r="AK51" s="148"/>
      <c r="AL51" s="148"/>
      <c r="AM51" s="148"/>
      <c r="AN51" s="148"/>
      <c r="AO51" s="148"/>
      <c r="AP51" s="317"/>
      <c r="AQ51" s="317"/>
      <c r="AR51" s="317"/>
      <c r="AS51" s="317"/>
      <c r="AT51" s="317"/>
      <c r="AU51" s="148"/>
    </row>
    <row r="52" spans="1:50" ht="18" customHeight="1" x14ac:dyDescent="0.25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48"/>
      <c r="AI52" s="148"/>
      <c r="AJ52" s="148"/>
      <c r="AK52" s="148"/>
      <c r="AL52" s="148"/>
      <c r="AM52" s="148"/>
      <c r="AN52" s="148"/>
      <c r="AO52" s="148"/>
      <c r="AP52" s="317"/>
      <c r="AQ52" s="317"/>
      <c r="AR52" s="317"/>
      <c r="AS52" s="317"/>
      <c r="AT52" s="317"/>
      <c r="AU52" s="148"/>
    </row>
    <row r="53" spans="1:50" ht="18" customHeight="1" x14ac:dyDescent="0.25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11"/>
      <c r="AW53" s="111"/>
      <c r="AX53" s="111"/>
    </row>
    <row r="54" spans="1:50" ht="16.5" customHeight="1" x14ac:dyDescent="0.25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11"/>
      <c r="AW54" s="111"/>
      <c r="AX54" s="111"/>
    </row>
    <row r="55" spans="1:50" ht="18.75" customHeight="1" x14ac:dyDescent="0.25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11"/>
      <c r="AW55" s="111"/>
      <c r="AX55" s="111"/>
    </row>
    <row r="56" spans="1:50" x14ac:dyDescent="0.25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11"/>
      <c r="AW56" s="111"/>
      <c r="AX56" s="111"/>
    </row>
    <row r="57" spans="1:50" x14ac:dyDescent="0.25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11"/>
      <c r="AW57" s="111"/>
      <c r="AX57" s="111"/>
    </row>
    <row r="58" spans="1:50" x14ac:dyDescent="0.25">
      <c r="A58" s="111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11"/>
      <c r="AW58" s="111"/>
      <c r="AX58" s="111"/>
    </row>
    <row r="59" spans="1:50" x14ac:dyDescent="0.25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11"/>
      <c r="AW59" s="111"/>
      <c r="AX59" s="111"/>
    </row>
    <row r="60" spans="1:50" x14ac:dyDescent="0.25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11"/>
      <c r="AW60" s="111"/>
      <c r="AX60" s="111"/>
    </row>
    <row r="61" spans="1:50" x14ac:dyDescent="0.25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11"/>
      <c r="AW61" s="111"/>
      <c r="AX61" s="111"/>
    </row>
    <row r="62" spans="1:50" x14ac:dyDescent="0.25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11"/>
      <c r="AW62" s="111"/>
      <c r="AX62" s="111"/>
    </row>
    <row r="63" spans="1:50" x14ac:dyDescent="0.25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11"/>
      <c r="AW63" s="111"/>
      <c r="AX63" s="111"/>
    </row>
    <row r="64" spans="1:50" x14ac:dyDescent="0.25">
      <c r="G64" s="143" t="s">
        <v>213</v>
      </c>
    </row>
  </sheetData>
  <mergeCells count="66">
    <mergeCell ref="AS5:AS6"/>
    <mergeCell ref="AQ5:AQ6"/>
    <mergeCell ref="AB5:AB6"/>
    <mergeCell ref="AC5:AC6"/>
    <mergeCell ref="AD5:AD6"/>
    <mergeCell ref="AE5:AE6"/>
    <mergeCell ref="AF5:AF6"/>
    <mergeCell ref="AL5:AL6"/>
    <mergeCell ref="AN5:AN6"/>
    <mergeCell ref="AO5:AO6"/>
    <mergeCell ref="AP5:AP6"/>
    <mergeCell ref="AT5:AT6"/>
    <mergeCell ref="AG5:AG6"/>
    <mergeCell ref="AH5:AH6"/>
    <mergeCell ref="AM5:AM6"/>
    <mergeCell ref="E5:E6"/>
    <mergeCell ref="F5:F6"/>
    <mergeCell ref="G5:G6"/>
    <mergeCell ref="Y5:Y6"/>
    <mergeCell ref="Z5:Z6"/>
    <mergeCell ref="H5:H6"/>
    <mergeCell ref="K5:L5"/>
    <mergeCell ref="I5:J5"/>
    <mergeCell ref="W5:X5"/>
    <mergeCell ref="M5:N5"/>
    <mergeCell ref="O5:P5"/>
    <mergeCell ref="Q5:R5"/>
    <mergeCell ref="S5:T5"/>
    <mergeCell ref="U5:V5"/>
    <mergeCell ref="A29:A30"/>
    <mergeCell ref="A5:A6"/>
    <mergeCell ref="B5:B6"/>
    <mergeCell ref="C5:C6"/>
    <mergeCell ref="D5:D6"/>
    <mergeCell ref="G29:G30"/>
    <mergeCell ref="H29:H30"/>
    <mergeCell ref="B29:B30"/>
    <mergeCell ref="C29:C30"/>
    <mergeCell ref="D29:D30"/>
    <mergeCell ref="E29:E30"/>
    <mergeCell ref="F29:F30"/>
    <mergeCell ref="AJ29:AJ30"/>
    <mergeCell ref="AK29:AK30"/>
    <mergeCell ref="Z29:Z30"/>
    <mergeCell ref="K29:L29"/>
    <mergeCell ref="Y29:Y30"/>
    <mergeCell ref="W29:X29"/>
    <mergeCell ref="U29:V29"/>
    <mergeCell ref="S29:T29"/>
    <mergeCell ref="Q29:R29"/>
    <mergeCell ref="AL29:AL30"/>
    <mergeCell ref="AM29:AM30"/>
    <mergeCell ref="AR5:AR6"/>
    <mergeCell ref="AE29:AE30"/>
    <mergeCell ref="AA5:AA6"/>
    <mergeCell ref="AB29:AB30"/>
    <mergeCell ref="AK5:AK6"/>
    <mergeCell ref="AJ5:AJ6"/>
    <mergeCell ref="AI5:AI6"/>
    <mergeCell ref="AC29:AC30"/>
    <mergeCell ref="AD29:AD30"/>
    <mergeCell ref="AA29:AA30"/>
    <mergeCell ref="AF29:AF30"/>
    <mergeCell ref="AG29:AG30"/>
    <mergeCell ref="AH29:AH30"/>
    <mergeCell ref="AI29:AI30"/>
  </mergeCells>
  <pageMargins left="0.22" right="0.70866141732283472" top="0.74803149606299213" bottom="0.74803149606299213" header="0.31496062992125984" footer="0.31496062992125984"/>
  <pageSetup paperSize="9" orientation="landscape" verticalDpi="0" r:id="rId1"/>
  <ignoredErrors>
    <ignoredError sqref="AL4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M139"/>
  <sheetViews>
    <sheetView topLeftCell="F61" workbookViewId="0">
      <selection activeCell="C1" sqref="C1:AM1048576"/>
    </sheetView>
  </sheetViews>
  <sheetFormatPr defaultRowHeight="15" x14ac:dyDescent="0.25"/>
  <cols>
    <col min="1" max="1" width="3.42578125" customWidth="1"/>
    <col min="2" max="2" width="9.5703125" hidden="1" customWidth="1"/>
    <col min="3" max="3" width="20.7109375" customWidth="1"/>
    <col min="4" max="4" width="8.5703125" customWidth="1"/>
    <col min="5" max="5" width="6.140625" customWidth="1"/>
    <col min="6" max="7" width="8.140625" customWidth="1"/>
    <col min="8" max="8" width="9.5703125" customWidth="1"/>
    <col min="9" max="9" width="11" customWidth="1"/>
    <col min="10" max="10" width="11.5703125" customWidth="1"/>
    <col min="11" max="11" width="11.28515625" customWidth="1"/>
    <col min="12" max="12" width="12.28515625" customWidth="1"/>
    <col min="13" max="13" width="11.5703125" customWidth="1"/>
    <col min="14" max="14" width="10.5703125" customWidth="1"/>
    <col min="15" max="15" width="11.5703125" customWidth="1"/>
    <col min="16" max="22" width="11.140625" customWidth="1"/>
    <col min="23" max="23" width="12" customWidth="1"/>
    <col min="24" max="24" width="11.5703125" customWidth="1"/>
    <col min="25" max="25" width="12" customWidth="1"/>
    <col min="26" max="28" width="12.85546875" customWidth="1"/>
    <col min="29" max="29" width="12.42578125" customWidth="1"/>
    <col min="30" max="30" width="13.28515625" customWidth="1"/>
    <col min="31" max="33" width="12.85546875" customWidth="1"/>
    <col min="34" max="34" width="13.28515625" customWidth="1"/>
    <col min="35" max="35" width="13.5703125" customWidth="1"/>
    <col min="36" max="36" width="12.85546875" customWidth="1"/>
    <col min="37" max="37" width="12" customWidth="1"/>
    <col min="38" max="38" width="10.28515625" customWidth="1"/>
    <col min="39" max="39" width="11.42578125" customWidth="1"/>
    <col min="40" max="40" width="10.42578125" customWidth="1"/>
    <col min="41" max="41" width="10" customWidth="1"/>
    <col min="42" max="43" width="11.85546875" customWidth="1"/>
    <col min="44" max="44" width="12" customWidth="1"/>
    <col min="45" max="45" width="12.28515625" customWidth="1"/>
    <col min="46" max="46" width="10.7109375" customWidth="1"/>
    <col min="47" max="47" width="11.28515625" customWidth="1"/>
    <col min="48" max="48" width="10" customWidth="1"/>
    <col min="49" max="49" width="11.42578125" customWidth="1"/>
    <col min="50" max="50" width="10.5703125" customWidth="1"/>
    <col min="51" max="51" width="10.7109375" customWidth="1"/>
    <col min="52" max="52" width="11.7109375" customWidth="1"/>
    <col min="53" max="58" width="10.7109375" customWidth="1"/>
    <col min="59" max="59" width="11.7109375" customWidth="1"/>
    <col min="60" max="60" width="10.140625" customWidth="1"/>
    <col min="61" max="61" width="10.28515625" hidden="1" customWidth="1"/>
    <col min="62" max="62" width="11.7109375" hidden="1" customWidth="1"/>
    <col min="63" max="63" width="10.140625" hidden="1" customWidth="1"/>
    <col min="64" max="64" width="9" hidden="1" customWidth="1"/>
    <col min="65" max="65" width="11.28515625" hidden="1" customWidth="1"/>
    <col min="66" max="66" width="11.7109375" hidden="1" customWidth="1"/>
    <col min="67" max="67" width="11.28515625" style="27" hidden="1" customWidth="1"/>
    <col min="68" max="68" width="10.42578125" customWidth="1"/>
  </cols>
  <sheetData>
    <row r="1" spans="1:69" ht="16.5" customHeight="1" x14ac:dyDescent="0.25">
      <c r="AU1" s="143"/>
    </row>
    <row r="2" spans="1:69" ht="15.75" x14ac:dyDescent="0.25">
      <c r="D2" s="106" t="s">
        <v>264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</row>
    <row r="3" spans="1:69" ht="15.75" x14ac:dyDescent="0.25"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U3" s="467"/>
      <c r="AV3" s="33"/>
      <c r="AW3" s="33"/>
      <c r="AX3" s="33"/>
      <c r="AY3" s="33"/>
      <c r="AZ3" s="33"/>
      <c r="BA3" s="33"/>
      <c r="BB3" s="33"/>
      <c r="BC3" s="33"/>
      <c r="BD3" s="467"/>
      <c r="BE3" s="33"/>
      <c r="BF3" s="33"/>
      <c r="BG3" s="33"/>
      <c r="BH3" s="33"/>
    </row>
    <row r="4" spans="1:69" ht="15.75" x14ac:dyDescent="0.25">
      <c r="D4" s="106"/>
      <c r="E4" s="106"/>
      <c r="F4" s="106"/>
      <c r="G4" s="11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</row>
    <row r="5" spans="1:69" ht="15.75" x14ac:dyDescent="0.25">
      <c r="A5" s="10"/>
      <c r="B5" s="10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</row>
    <row r="6" spans="1:69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</row>
    <row r="7" spans="1:69" ht="54" customHeight="1" x14ac:dyDescent="0.25">
      <c r="A7" s="915" t="s">
        <v>0</v>
      </c>
      <c r="B7" s="860"/>
      <c r="C7" s="915" t="s">
        <v>130</v>
      </c>
      <c r="D7" s="915" t="s">
        <v>43</v>
      </c>
      <c r="E7" s="915" t="s">
        <v>44</v>
      </c>
      <c r="F7" s="915" t="s">
        <v>45</v>
      </c>
      <c r="G7" s="915" t="s">
        <v>46</v>
      </c>
      <c r="H7" s="915" t="s">
        <v>1</v>
      </c>
      <c r="I7" s="890" t="s">
        <v>215</v>
      </c>
      <c r="J7" s="891"/>
      <c r="K7" s="890" t="s">
        <v>238</v>
      </c>
      <c r="L7" s="891"/>
      <c r="M7" s="865" t="s">
        <v>240</v>
      </c>
      <c r="N7" s="866"/>
      <c r="O7" s="865" t="s">
        <v>265</v>
      </c>
      <c r="P7" s="866"/>
      <c r="Q7" s="865" t="s">
        <v>266</v>
      </c>
      <c r="R7" s="866"/>
      <c r="S7" s="865" t="s">
        <v>267</v>
      </c>
      <c r="T7" s="866"/>
      <c r="U7" s="865" t="s">
        <v>268</v>
      </c>
      <c r="V7" s="866"/>
      <c r="W7" s="865" t="s">
        <v>241</v>
      </c>
      <c r="X7" s="866"/>
      <c r="Y7" s="865" t="s">
        <v>239</v>
      </c>
      <c r="Z7" s="866"/>
      <c r="AA7" s="865" t="s">
        <v>242</v>
      </c>
      <c r="AB7" s="866"/>
      <c r="AC7" s="969" t="s">
        <v>186</v>
      </c>
      <c r="AD7" s="970"/>
      <c r="AE7" s="969" t="s">
        <v>247</v>
      </c>
      <c r="AF7" s="970"/>
      <c r="AG7" s="969" t="s">
        <v>243</v>
      </c>
      <c r="AH7" s="970"/>
      <c r="AI7" s="867" t="s">
        <v>305</v>
      </c>
      <c r="AJ7" s="867"/>
      <c r="AK7" s="939" t="s">
        <v>204</v>
      </c>
      <c r="AL7" s="881" t="s">
        <v>241</v>
      </c>
      <c r="AM7" s="877" t="s">
        <v>242</v>
      </c>
      <c r="AN7" s="862" t="s">
        <v>224</v>
      </c>
      <c r="AO7" s="862" t="s">
        <v>2</v>
      </c>
      <c r="AP7" s="862" t="s">
        <v>3</v>
      </c>
      <c r="AQ7" s="862" t="s">
        <v>249</v>
      </c>
      <c r="AR7" s="873" t="s">
        <v>272</v>
      </c>
      <c r="AS7" s="875" t="s">
        <v>198</v>
      </c>
      <c r="AT7" s="862" t="s">
        <v>250</v>
      </c>
      <c r="AU7" s="877" t="s">
        <v>227</v>
      </c>
      <c r="AV7" s="879" t="s">
        <v>251</v>
      </c>
      <c r="AW7" s="881" t="s">
        <v>189</v>
      </c>
      <c r="AX7" s="877" t="s">
        <v>203</v>
      </c>
      <c r="AY7" s="882" t="s">
        <v>275</v>
      </c>
      <c r="AZ7" s="879" t="s">
        <v>257</v>
      </c>
      <c r="BA7" s="928" t="s">
        <v>367</v>
      </c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</row>
    <row r="8" spans="1:69" ht="52.5" customHeight="1" x14ac:dyDescent="0.25">
      <c r="A8" s="915"/>
      <c r="B8" s="861"/>
      <c r="C8" s="915"/>
      <c r="D8" s="915"/>
      <c r="E8" s="915"/>
      <c r="F8" s="915"/>
      <c r="G8" s="915"/>
      <c r="H8" s="915"/>
      <c r="I8" s="82" t="s">
        <v>4</v>
      </c>
      <c r="J8" s="529" t="s">
        <v>5</v>
      </c>
      <c r="K8" s="82" t="s">
        <v>4</v>
      </c>
      <c r="L8" s="529" t="s">
        <v>5</v>
      </c>
      <c r="M8" s="82" t="s">
        <v>4</v>
      </c>
      <c r="N8" s="529" t="s">
        <v>5</v>
      </c>
      <c r="O8" s="82" t="s">
        <v>4</v>
      </c>
      <c r="P8" s="564" t="s">
        <v>5</v>
      </c>
      <c r="Q8" s="82" t="s">
        <v>4</v>
      </c>
      <c r="R8" s="564" t="s">
        <v>5</v>
      </c>
      <c r="S8" s="82" t="s">
        <v>4</v>
      </c>
      <c r="T8" s="564" t="s">
        <v>5</v>
      </c>
      <c r="U8" s="82" t="s">
        <v>4</v>
      </c>
      <c r="V8" s="564" t="s">
        <v>5</v>
      </c>
      <c r="W8" s="82" t="s">
        <v>4</v>
      </c>
      <c r="X8" s="529" t="s">
        <v>5</v>
      </c>
      <c r="Y8" s="82" t="s">
        <v>4</v>
      </c>
      <c r="Z8" s="529" t="s">
        <v>5</v>
      </c>
      <c r="AA8" s="82" t="s">
        <v>4</v>
      </c>
      <c r="AB8" s="529" t="s">
        <v>5</v>
      </c>
      <c r="AC8" s="553" t="s">
        <v>4</v>
      </c>
      <c r="AD8" s="554" t="s">
        <v>5</v>
      </c>
      <c r="AE8" s="553" t="s">
        <v>4</v>
      </c>
      <c r="AF8" s="554" t="s">
        <v>5</v>
      </c>
      <c r="AG8" s="553" t="s">
        <v>4</v>
      </c>
      <c r="AH8" s="554" t="s">
        <v>5</v>
      </c>
      <c r="AI8" s="542" t="s">
        <v>4</v>
      </c>
      <c r="AJ8" s="543" t="s">
        <v>5</v>
      </c>
      <c r="AK8" s="940"/>
      <c r="AL8" s="881"/>
      <c r="AM8" s="878"/>
      <c r="AN8" s="863"/>
      <c r="AO8" s="864"/>
      <c r="AP8" s="863"/>
      <c r="AQ8" s="863"/>
      <c r="AR8" s="874"/>
      <c r="AS8" s="876"/>
      <c r="AT8" s="863"/>
      <c r="AU8" s="878"/>
      <c r="AV8" s="880"/>
      <c r="AW8" s="881"/>
      <c r="AX8" s="864"/>
      <c r="AY8" s="864"/>
      <c r="AZ8" s="949"/>
      <c r="BA8" s="928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</row>
    <row r="9" spans="1:69" ht="15.75" customHeight="1" x14ac:dyDescent="0.25">
      <c r="A9" s="68">
        <v>1</v>
      </c>
      <c r="B9" s="198"/>
      <c r="C9" s="69" t="s">
        <v>194</v>
      </c>
      <c r="D9" s="68">
        <v>1962</v>
      </c>
      <c r="E9" s="571">
        <v>1</v>
      </c>
      <c r="F9" s="571">
        <v>6</v>
      </c>
      <c r="G9" s="571">
        <v>11</v>
      </c>
      <c r="H9" s="587">
        <v>288.2</v>
      </c>
      <c r="I9" s="323"/>
      <c r="J9" s="323"/>
      <c r="K9" s="323"/>
      <c r="L9" s="323"/>
      <c r="M9" s="323"/>
      <c r="N9" s="323">
        <v>6.02</v>
      </c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443"/>
      <c r="Z9" s="444"/>
      <c r="AA9" s="566"/>
      <c r="AB9" s="566"/>
      <c r="AC9" s="566">
        <v>34955.949999999997</v>
      </c>
      <c r="AD9" s="566">
        <v>37538.239999999998</v>
      </c>
      <c r="AE9" s="566">
        <v>4528.8599999999997</v>
      </c>
      <c r="AF9" s="566"/>
      <c r="AG9" s="566">
        <f>AC9-AE9</f>
        <v>30427.089999999997</v>
      </c>
      <c r="AH9" s="566">
        <f>AD9/AC9*AG9</f>
        <v>32674.820936681735</v>
      </c>
      <c r="AI9" s="581">
        <f>I9+K9+M9+O9+Q9+S9+U9+W9+Y9+AA9+AG9</f>
        <v>30427.089999999997</v>
      </c>
      <c r="AJ9" s="581">
        <f>J9+L9+N9+P9+R9+T9+V9+X9+Z9+AB9+AH9</f>
        <v>32680.840936681736</v>
      </c>
      <c r="AK9" s="756">
        <f>AL9+AM9+AN9+AO9+AP9+AQ9+AR9+AS9+AT9+AU9+AV9+AW9+AX9+AY9+AZ9</f>
        <v>30120.843634707635</v>
      </c>
      <c r="AL9" s="567"/>
      <c r="AM9" s="567"/>
      <c r="AN9" s="568">
        <v>187.99</v>
      </c>
      <c r="AO9" s="568"/>
      <c r="AP9" s="568">
        <f>977140.13/26213.25*H9</f>
        <v>10743.108369469637</v>
      </c>
      <c r="AQ9" s="568">
        <v>5544.09</v>
      </c>
      <c r="AR9" s="568">
        <f>32123.9/26213.25*H9</f>
        <v>353.18428580965735</v>
      </c>
      <c r="AS9" s="568">
        <f>2700/26213.25*H9</f>
        <v>29.684987554004177</v>
      </c>
      <c r="AT9" s="567"/>
      <c r="AU9" s="583"/>
      <c r="AV9" s="569">
        <v>955.75</v>
      </c>
      <c r="AW9" s="569">
        <f>1010843.47/26213.25*H9</f>
        <v>11113.657713331997</v>
      </c>
      <c r="AX9" s="569">
        <f>108543.8/26213.25*H9</f>
        <v>1193.3782785423402</v>
      </c>
      <c r="AY9" s="569"/>
      <c r="AZ9" s="569"/>
      <c r="BA9" s="739">
        <f>AI9-AK9</f>
        <v>306.24636529236159</v>
      </c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</row>
    <row r="10" spans="1:69" s="71" customFormat="1" ht="15.75" customHeight="1" x14ac:dyDescent="0.25">
      <c r="A10" s="61">
        <v>2</v>
      </c>
      <c r="B10" s="198"/>
      <c r="C10" s="34" t="s">
        <v>13</v>
      </c>
      <c r="D10" s="61">
        <v>1966</v>
      </c>
      <c r="E10" s="571">
        <v>2</v>
      </c>
      <c r="F10" s="571">
        <v>16</v>
      </c>
      <c r="G10" s="574">
        <v>34</v>
      </c>
      <c r="H10" s="78">
        <v>627.76</v>
      </c>
      <c r="I10" s="549"/>
      <c r="J10" s="549">
        <v>22.1</v>
      </c>
      <c r="K10" s="549">
        <v>2246.89</v>
      </c>
      <c r="L10" s="549">
        <v>1851.19</v>
      </c>
      <c r="M10" s="549">
        <v>260.64</v>
      </c>
      <c r="N10" s="549">
        <v>227.04</v>
      </c>
      <c r="O10" s="549"/>
      <c r="P10" s="549"/>
      <c r="Q10" s="549"/>
      <c r="R10" s="549"/>
      <c r="S10" s="549"/>
      <c r="T10" s="549"/>
      <c r="U10" s="549"/>
      <c r="V10" s="549"/>
      <c r="W10" s="549"/>
      <c r="X10" s="549"/>
      <c r="Y10" s="443"/>
      <c r="Z10" s="444"/>
      <c r="AA10" s="566"/>
      <c r="AB10" s="566"/>
      <c r="AC10" s="566">
        <v>87506.9</v>
      </c>
      <c r="AD10" s="566">
        <v>71080.81</v>
      </c>
      <c r="AE10" s="566">
        <v>10671.65</v>
      </c>
      <c r="AF10" s="566"/>
      <c r="AG10" s="566">
        <f t="shared" ref="AG10:AG40" si="0">AC10-AE10</f>
        <v>76835.25</v>
      </c>
      <c r="AH10" s="566">
        <f t="shared" ref="AH10:AH40" si="1">AD10/AC10*AG10</f>
        <v>62412.356129088104</v>
      </c>
      <c r="AI10" s="581">
        <f t="shared" ref="AI10:AI17" si="2">I10+K10+M10+O10+Q10+S10+U10+W10+Y10+AA10+AG10</f>
        <v>79342.78</v>
      </c>
      <c r="AJ10" s="581">
        <f t="shared" ref="AJ10:AJ40" si="3">J10+L10+N10+P10+R10+T10+V10+X10+Z10+AB10+AH10</f>
        <v>64512.686129088106</v>
      </c>
      <c r="AK10" s="756">
        <f t="shared" ref="AK10:AK40" si="4">AL10+AM10+AN10+AO10+AP10+AQ10+AR10+AS10+AT10+AU10+AV10+AW10+AX10+AY10+AZ10</f>
        <v>69395.484709660188</v>
      </c>
      <c r="AL10" s="567"/>
      <c r="AM10" s="567"/>
      <c r="AN10" s="568">
        <v>409.48</v>
      </c>
      <c r="AO10" s="568"/>
      <c r="AP10" s="568">
        <f t="shared" ref="AP10:AP40" si="5">977140.13/26213.25*H10</f>
        <v>23400.741533720538</v>
      </c>
      <c r="AQ10" s="567">
        <v>12075.73</v>
      </c>
      <c r="AR10" s="568">
        <f t="shared" ref="AR10:AR40" si="6">32123.9/26213.25*H10</f>
        <v>769.30939368449174</v>
      </c>
      <c r="AS10" s="568">
        <f t="shared" ref="AS10:AS40" si="7">2700/26213.25*H10</f>
        <v>64.660124173843386</v>
      </c>
      <c r="AT10" s="567">
        <v>3696.39</v>
      </c>
      <c r="AU10" s="583"/>
      <c r="AV10" s="569">
        <v>2171.87</v>
      </c>
      <c r="AW10" s="569">
        <f t="shared" ref="AW10:AW40" si="8">1010843.47/26213.25*H10</f>
        <v>24207.875663155082</v>
      </c>
      <c r="AX10" s="569">
        <f t="shared" ref="AX10:AX40" si="9">108543.8/26213.25*H10</f>
        <v>2599.42799492623</v>
      </c>
      <c r="AY10" s="569"/>
      <c r="AZ10" s="569"/>
      <c r="BA10" s="739">
        <f t="shared" ref="BA10:BA40" si="10">AI10-AK10</f>
        <v>9947.2952903398109</v>
      </c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</row>
    <row r="11" spans="1:69" s="71" customFormat="1" x14ac:dyDescent="0.25">
      <c r="A11" s="13">
        <v>3</v>
      </c>
      <c r="B11" s="199"/>
      <c r="C11" s="35" t="s">
        <v>14</v>
      </c>
      <c r="D11" s="13">
        <v>1966</v>
      </c>
      <c r="E11" s="572">
        <v>2</v>
      </c>
      <c r="F11" s="572">
        <v>16</v>
      </c>
      <c r="G11" s="575">
        <v>35</v>
      </c>
      <c r="H11" s="70">
        <v>626.47</v>
      </c>
      <c r="I11" s="550"/>
      <c r="J11" s="550"/>
      <c r="K11" s="550">
        <v>2205.75</v>
      </c>
      <c r="L11" s="550">
        <v>2203.65</v>
      </c>
      <c r="M11" s="550">
        <v>260.82</v>
      </c>
      <c r="N11" s="550">
        <v>262.11</v>
      </c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443"/>
      <c r="Z11" s="444"/>
      <c r="AA11" s="566">
        <v>3360</v>
      </c>
      <c r="AB11" s="566">
        <v>3379.08</v>
      </c>
      <c r="AC11" s="566">
        <v>88207.02</v>
      </c>
      <c r="AD11" s="566">
        <v>86522.23</v>
      </c>
      <c r="AE11" s="566">
        <v>10180.11</v>
      </c>
      <c r="AF11" s="566"/>
      <c r="AG11" s="566">
        <f t="shared" si="0"/>
        <v>78026.91</v>
      </c>
      <c r="AH11" s="566">
        <f t="shared" si="1"/>
        <v>76536.5642463525</v>
      </c>
      <c r="AI11" s="581">
        <f t="shared" si="2"/>
        <v>83853.48000000001</v>
      </c>
      <c r="AJ11" s="581">
        <f t="shared" si="3"/>
        <v>82381.404246352497</v>
      </c>
      <c r="AK11" s="756">
        <f t="shared" si="4"/>
        <v>75440.637174654024</v>
      </c>
      <c r="AL11" s="567"/>
      <c r="AM11" s="567">
        <v>3360</v>
      </c>
      <c r="AN11" s="568">
        <v>408.66</v>
      </c>
      <c r="AO11" s="568"/>
      <c r="AP11" s="568">
        <f t="shared" si="5"/>
        <v>23352.654754412368</v>
      </c>
      <c r="AQ11" s="567">
        <v>12050.97</v>
      </c>
      <c r="AR11" s="568">
        <f t="shared" si="6"/>
        <v>767.72852023308837</v>
      </c>
      <c r="AS11" s="568">
        <f t="shared" si="7"/>
        <v>64.527252439129072</v>
      </c>
      <c r="AT11" s="567">
        <v>3317.49</v>
      </c>
      <c r="AU11" s="583"/>
      <c r="AV11" s="569">
        <v>5366.39</v>
      </c>
      <c r="AW11" s="569">
        <f t="shared" si="8"/>
        <v>24158.130283383402</v>
      </c>
      <c r="AX11" s="569">
        <f t="shared" si="9"/>
        <v>2594.086364186051</v>
      </c>
      <c r="AY11" s="569"/>
      <c r="AZ11" s="569"/>
      <c r="BA11" s="739">
        <f t="shared" si="10"/>
        <v>8412.8428253459861</v>
      </c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</row>
    <row r="12" spans="1:69" s="71" customFormat="1" x14ac:dyDescent="0.25">
      <c r="A12" s="13">
        <v>4</v>
      </c>
      <c r="B12" s="199"/>
      <c r="C12" s="35" t="s">
        <v>15</v>
      </c>
      <c r="D12" s="13">
        <v>1961</v>
      </c>
      <c r="E12" s="572">
        <v>2</v>
      </c>
      <c r="F12" s="572">
        <v>12</v>
      </c>
      <c r="G12" s="574">
        <v>39</v>
      </c>
      <c r="H12" s="70">
        <v>456.5</v>
      </c>
      <c r="I12" s="550"/>
      <c r="J12" s="550"/>
      <c r="K12" s="550">
        <v>2793.21</v>
      </c>
      <c r="L12" s="550">
        <v>2549.8200000000002</v>
      </c>
      <c r="M12" s="550">
        <v>206.28</v>
      </c>
      <c r="N12" s="550">
        <v>182.2</v>
      </c>
      <c r="O12" s="550"/>
      <c r="P12" s="550"/>
      <c r="Q12" s="550"/>
      <c r="R12" s="550"/>
      <c r="S12" s="550"/>
      <c r="T12" s="550"/>
      <c r="U12" s="550"/>
      <c r="V12" s="550"/>
      <c r="W12" s="550"/>
      <c r="X12" s="550"/>
      <c r="Y12" s="443"/>
      <c r="Z12" s="444"/>
      <c r="AA12" s="566"/>
      <c r="AB12" s="566"/>
      <c r="AC12" s="566">
        <v>63229.91</v>
      </c>
      <c r="AD12" s="566">
        <v>54596.53</v>
      </c>
      <c r="AE12" s="566">
        <v>8011.6</v>
      </c>
      <c r="AF12" s="566"/>
      <c r="AG12" s="566">
        <f t="shared" si="0"/>
        <v>55218.310000000005</v>
      </c>
      <c r="AH12" s="566">
        <f t="shared" si="1"/>
        <v>47678.829820638683</v>
      </c>
      <c r="AI12" s="581">
        <f t="shared" si="2"/>
        <v>58217.8</v>
      </c>
      <c r="AJ12" s="581">
        <f t="shared" si="3"/>
        <v>50410.849820638679</v>
      </c>
      <c r="AK12" s="756">
        <f t="shared" si="4"/>
        <v>50712.318085510189</v>
      </c>
      <c r="AL12" s="567"/>
      <c r="AM12" s="567"/>
      <c r="AN12" s="568">
        <v>297.77999999999997</v>
      </c>
      <c r="AO12" s="568"/>
      <c r="AP12" s="568">
        <f t="shared" si="5"/>
        <v>17016.755623396562</v>
      </c>
      <c r="AQ12" s="567">
        <v>8781.6</v>
      </c>
      <c r="AR12" s="568">
        <f t="shared" si="6"/>
        <v>559.4331244694954</v>
      </c>
      <c r="AS12" s="568">
        <f t="shared" si="7"/>
        <v>47.020113873708908</v>
      </c>
      <c r="AT12" s="567">
        <v>2903.03</v>
      </c>
      <c r="AU12" s="583"/>
      <c r="AV12" s="569">
        <v>1612.73</v>
      </c>
      <c r="AW12" s="569">
        <f t="shared" si="8"/>
        <v>17603.694469590759</v>
      </c>
      <c r="AX12" s="569">
        <f t="shared" si="9"/>
        <v>1890.2747541796609</v>
      </c>
      <c r="AY12" s="569"/>
      <c r="AZ12" s="569"/>
      <c r="BA12" s="739">
        <f t="shared" si="10"/>
        <v>7505.4819144898138</v>
      </c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</row>
    <row r="13" spans="1:69" s="71" customFormat="1" x14ac:dyDescent="0.25">
      <c r="A13" s="13">
        <v>5</v>
      </c>
      <c r="B13" s="199"/>
      <c r="C13" s="35" t="s">
        <v>16</v>
      </c>
      <c r="D13" s="13">
        <v>1961</v>
      </c>
      <c r="E13" s="572">
        <v>2</v>
      </c>
      <c r="F13" s="572">
        <v>12</v>
      </c>
      <c r="G13" s="575">
        <v>35</v>
      </c>
      <c r="H13" s="70">
        <v>459.7</v>
      </c>
      <c r="I13" s="550"/>
      <c r="J13" s="550">
        <v>97.66</v>
      </c>
      <c r="K13" s="550">
        <v>3522.13</v>
      </c>
      <c r="L13" s="550">
        <v>3218.81</v>
      </c>
      <c r="M13" s="550">
        <v>206.22</v>
      </c>
      <c r="N13" s="550">
        <v>213.73</v>
      </c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443"/>
      <c r="Z13" s="444"/>
      <c r="AA13" s="566"/>
      <c r="AB13" s="566"/>
      <c r="AC13" s="566">
        <v>64417.79</v>
      </c>
      <c r="AD13" s="566">
        <v>60668.56</v>
      </c>
      <c r="AE13" s="566">
        <v>7654.05</v>
      </c>
      <c r="AF13" s="566"/>
      <c r="AG13" s="566">
        <f t="shared" si="0"/>
        <v>56763.74</v>
      </c>
      <c r="AH13" s="566">
        <f t="shared" si="1"/>
        <v>53459.989329258264</v>
      </c>
      <c r="AI13" s="581">
        <f t="shared" si="2"/>
        <v>60492.09</v>
      </c>
      <c r="AJ13" s="581">
        <f t="shared" si="3"/>
        <v>56990.189329258261</v>
      </c>
      <c r="AK13" s="756">
        <f t="shared" si="4"/>
        <v>52610.954218858773</v>
      </c>
      <c r="AL13" s="567"/>
      <c r="AM13" s="567"/>
      <c r="AN13" s="568">
        <v>299.87</v>
      </c>
      <c r="AO13" s="568"/>
      <c r="AP13" s="568">
        <f t="shared" si="5"/>
        <v>17136.040657339319</v>
      </c>
      <c r="AQ13" s="567">
        <v>8843.2000000000007</v>
      </c>
      <c r="AR13" s="568">
        <f t="shared" si="6"/>
        <v>563.35467101561233</v>
      </c>
      <c r="AS13" s="568">
        <f t="shared" si="7"/>
        <v>47.349718176876202</v>
      </c>
      <c r="AT13" s="567">
        <v>4512.58</v>
      </c>
      <c r="AU13" s="583"/>
      <c r="AV13" s="569">
        <v>1577.94</v>
      </c>
      <c r="AW13" s="569">
        <f t="shared" si="8"/>
        <v>17727.093861272446</v>
      </c>
      <c r="AX13" s="569">
        <f t="shared" si="9"/>
        <v>1903.5253110545239</v>
      </c>
      <c r="AY13" s="569"/>
      <c r="AZ13" s="569"/>
      <c r="BA13" s="739">
        <f t="shared" si="10"/>
        <v>7881.1357811412236</v>
      </c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</row>
    <row r="14" spans="1:69" s="71" customFormat="1" x14ac:dyDescent="0.25">
      <c r="A14" s="13">
        <v>6</v>
      </c>
      <c r="B14" s="199"/>
      <c r="C14" s="35" t="s">
        <v>17</v>
      </c>
      <c r="D14" s="13">
        <v>1960</v>
      </c>
      <c r="E14" s="572">
        <v>1</v>
      </c>
      <c r="F14" s="572">
        <v>6</v>
      </c>
      <c r="G14" s="574">
        <v>10</v>
      </c>
      <c r="H14" s="70">
        <v>129.56</v>
      </c>
      <c r="I14" s="550"/>
      <c r="J14" s="550"/>
      <c r="K14" s="550"/>
      <c r="L14" s="550"/>
      <c r="M14" s="550"/>
      <c r="N14" s="550"/>
      <c r="O14" s="550"/>
      <c r="P14" s="550"/>
      <c r="Q14" s="550"/>
      <c r="R14" s="550"/>
      <c r="S14" s="550"/>
      <c r="T14" s="550"/>
      <c r="U14" s="550"/>
      <c r="V14" s="550"/>
      <c r="W14" s="550"/>
      <c r="X14" s="550"/>
      <c r="Y14" s="443"/>
      <c r="Z14" s="444"/>
      <c r="AA14" s="566"/>
      <c r="AB14" s="566"/>
      <c r="AC14" s="566">
        <v>12549.15</v>
      </c>
      <c r="AD14" s="566">
        <v>9034.9500000000007</v>
      </c>
      <c r="AE14" s="566">
        <v>219.76</v>
      </c>
      <c r="AF14" s="566"/>
      <c r="AG14" s="566">
        <f t="shared" si="0"/>
        <v>12329.39</v>
      </c>
      <c r="AH14" s="566">
        <f t="shared" si="1"/>
        <v>8876.7304702310521</v>
      </c>
      <c r="AI14" s="581">
        <f t="shared" si="2"/>
        <v>12329.39</v>
      </c>
      <c r="AJ14" s="581">
        <f t="shared" si="3"/>
        <v>8876.7304702310521</v>
      </c>
      <c r="AK14" s="756">
        <f t="shared" si="4"/>
        <v>13149.196073951149</v>
      </c>
      <c r="AL14" s="567"/>
      <c r="AM14" s="567"/>
      <c r="AN14" s="568">
        <v>84.51</v>
      </c>
      <c r="AO14" s="568"/>
      <c r="AP14" s="568">
        <f t="shared" si="5"/>
        <v>4829.5528117574122</v>
      </c>
      <c r="AQ14" s="567">
        <v>2100.75</v>
      </c>
      <c r="AR14" s="568">
        <f t="shared" si="6"/>
        <v>158.77361578590981</v>
      </c>
      <c r="AS14" s="568">
        <f t="shared" si="7"/>
        <v>13.34485422448571</v>
      </c>
      <c r="AT14" s="567"/>
      <c r="AU14" s="583"/>
      <c r="AV14" s="569">
        <v>429.65</v>
      </c>
      <c r="AW14" s="569">
        <f t="shared" si="8"/>
        <v>4996.1328707123303</v>
      </c>
      <c r="AX14" s="569">
        <f t="shared" si="9"/>
        <v>536.48192147101179</v>
      </c>
      <c r="AY14" s="569"/>
      <c r="AZ14" s="569"/>
      <c r="BA14" s="739">
        <f t="shared" si="10"/>
        <v>-819.8060739511493</v>
      </c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</row>
    <row r="15" spans="1:69" s="71" customFormat="1" x14ac:dyDescent="0.25">
      <c r="A15" s="13">
        <v>7</v>
      </c>
      <c r="B15" s="199"/>
      <c r="C15" s="35" t="s">
        <v>18</v>
      </c>
      <c r="D15" s="13">
        <v>1985</v>
      </c>
      <c r="E15" s="572">
        <v>4</v>
      </c>
      <c r="F15" s="572">
        <v>48</v>
      </c>
      <c r="G15" s="575">
        <v>106</v>
      </c>
      <c r="H15" s="588">
        <v>2625.8</v>
      </c>
      <c r="I15" s="550"/>
      <c r="J15" s="550">
        <v>47.29</v>
      </c>
      <c r="K15" s="550">
        <v>4075.52</v>
      </c>
      <c r="L15" s="550">
        <v>4123.67</v>
      </c>
      <c r="M15" s="550">
        <v>1645.62</v>
      </c>
      <c r="N15" s="550">
        <v>1904.23</v>
      </c>
      <c r="O15" s="550">
        <v>1606.89</v>
      </c>
      <c r="P15" s="550">
        <v>1658.94</v>
      </c>
      <c r="Q15" s="550"/>
      <c r="R15" s="550"/>
      <c r="S15" s="550"/>
      <c r="T15" s="550"/>
      <c r="U15" s="550"/>
      <c r="V15" s="550"/>
      <c r="W15" s="550">
        <v>15785</v>
      </c>
      <c r="X15" s="550">
        <v>19296.23</v>
      </c>
      <c r="Y15" s="443"/>
      <c r="Z15" s="444"/>
      <c r="AA15" s="566">
        <v>20160</v>
      </c>
      <c r="AB15" s="566">
        <v>20733.59</v>
      </c>
      <c r="AC15" s="566">
        <v>485037.93</v>
      </c>
      <c r="AD15" s="566">
        <v>494214.85</v>
      </c>
      <c r="AE15" s="566">
        <v>35973.550000000003</v>
      </c>
      <c r="AF15" s="566"/>
      <c r="AG15" s="566">
        <f t="shared" si="0"/>
        <v>449064.38</v>
      </c>
      <c r="AH15" s="566">
        <f t="shared" si="1"/>
        <v>457560.68025864079</v>
      </c>
      <c r="AI15" s="581">
        <f t="shared" si="2"/>
        <v>492337.41000000003</v>
      </c>
      <c r="AJ15" s="581">
        <f t="shared" si="3"/>
        <v>505324.6302586408</v>
      </c>
      <c r="AK15" s="756">
        <f t="shared" si="4"/>
        <v>421737.04394696065</v>
      </c>
      <c r="AL15" s="567">
        <v>14400</v>
      </c>
      <c r="AM15" s="567">
        <v>20160</v>
      </c>
      <c r="AN15" s="568">
        <v>1712.83</v>
      </c>
      <c r="AO15" s="568">
        <v>3742.2</v>
      </c>
      <c r="AP15" s="568">
        <f t="shared" si="5"/>
        <v>97880.82566465433</v>
      </c>
      <c r="AQ15" s="567">
        <v>50510.57</v>
      </c>
      <c r="AR15" s="568">
        <f t="shared" si="6"/>
        <v>3217.8740377480858</v>
      </c>
      <c r="AS15" s="568">
        <f t="shared" si="7"/>
        <v>270.46093101771055</v>
      </c>
      <c r="AT15" s="567">
        <v>6951.95</v>
      </c>
      <c r="AU15" s="569">
        <v>6727</v>
      </c>
      <c r="AV15" s="569">
        <v>11638.62</v>
      </c>
      <c r="AW15" s="569">
        <f t="shared" si="8"/>
        <v>101256.91333680486</v>
      </c>
      <c r="AX15" s="569">
        <f t="shared" si="9"/>
        <v>10872.910075629692</v>
      </c>
      <c r="AY15" s="569">
        <v>2520</v>
      </c>
      <c r="AZ15" s="569">
        <f>572179.05/16716.88*H15</f>
        <v>89874.889901105969</v>
      </c>
      <c r="BA15" s="739">
        <f t="shared" si="10"/>
        <v>70600.366053039383</v>
      </c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</row>
    <row r="16" spans="1:69" s="71" customFormat="1" x14ac:dyDescent="0.25">
      <c r="A16" s="13">
        <v>8</v>
      </c>
      <c r="B16" s="199"/>
      <c r="C16" s="35" t="s">
        <v>19</v>
      </c>
      <c r="D16" s="13">
        <v>1968</v>
      </c>
      <c r="E16" s="572">
        <v>2</v>
      </c>
      <c r="F16" s="572">
        <v>22</v>
      </c>
      <c r="G16" s="574">
        <v>60</v>
      </c>
      <c r="H16" s="70">
        <v>857.42</v>
      </c>
      <c r="I16" s="550"/>
      <c r="J16" s="550"/>
      <c r="K16" s="550">
        <v>1728.34</v>
      </c>
      <c r="L16" s="550">
        <v>1798.83</v>
      </c>
      <c r="M16" s="550">
        <v>372.96</v>
      </c>
      <c r="N16" s="550">
        <v>368.39</v>
      </c>
      <c r="O16" s="550"/>
      <c r="P16" s="550"/>
      <c r="Q16" s="550"/>
      <c r="R16" s="550"/>
      <c r="S16" s="550"/>
      <c r="T16" s="550"/>
      <c r="U16" s="550"/>
      <c r="V16" s="550"/>
      <c r="W16" s="550">
        <v>6816.25</v>
      </c>
      <c r="X16" s="550">
        <v>7842.78</v>
      </c>
      <c r="Y16" s="443"/>
      <c r="Z16" s="444"/>
      <c r="AA16" s="566"/>
      <c r="AB16" s="566"/>
      <c r="AC16" s="566">
        <v>124083.71</v>
      </c>
      <c r="AD16" s="566">
        <v>118703.44</v>
      </c>
      <c r="AE16" s="566">
        <v>15262.45</v>
      </c>
      <c r="AF16" s="566"/>
      <c r="AG16" s="566">
        <f t="shared" si="0"/>
        <v>108821.26000000001</v>
      </c>
      <c r="AH16" s="566">
        <f t="shared" si="1"/>
        <v>104102.76987313162</v>
      </c>
      <c r="AI16" s="581">
        <f t="shared" si="2"/>
        <v>117738.81000000001</v>
      </c>
      <c r="AJ16" s="581">
        <f t="shared" si="3"/>
        <v>114112.76987313162</v>
      </c>
      <c r="AK16" s="756">
        <f t="shared" si="4"/>
        <v>98143.088267422005</v>
      </c>
      <c r="AL16" s="567">
        <v>6600</v>
      </c>
      <c r="AM16" s="567"/>
      <c r="AN16" s="568">
        <v>559.30999999999995</v>
      </c>
      <c r="AO16" s="568"/>
      <c r="AP16" s="568">
        <f t="shared" si="5"/>
        <v>31961.679313499848</v>
      </c>
      <c r="AQ16" s="567">
        <v>16494.259999999998</v>
      </c>
      <c r="AR16" s="568">
        <f t="shared" si="6"/>
        <v>1050.7538873661222</v>
      </c>
      <c r="AS16" s="568">
        <f t="shared" si="7"/>
        <v>88.315413006780929</v>
      </c>
      <c r="AT16" s="567">
        <v>1790.1</v>
      </c>
      <c r="AU16" s="569"/>
      <c r="AV16" s="569">
        <v>2984.17</v>
      </c>
      <c r="AW16" s="569">
        <f t="shared" si="8"/>
        <v>33064.095754910202</v>
      </c>
      <c r="AX16" s="569">
        <f t="shared" si="9"/>
        <v>3550.4038986390469</v>
      </c>
      <c r="AY16" s="569"/>
      <c r="AZ16" s="569"/>
      <c r="BA16" s="739">
        <f t="shared" si="10"/>
        <v>19595.721732578008</v>
      </c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</row>
    <row r="17" spans="1:69" s="71" customFormat="1" x14ac:dyDescent="0.25">
      <c r="A17" s="13">
        <v>9</v>
      </c>
      <c r="B17" s="199"/>
      <c r="C17" s="35" t="s">
        <v>20</v>
      </c>
      <c r="D17" s="13">
        <v>1969</v>
      </c>
      <c r="E17" s="572">
        <v>2</v>
      </c>
      <c r="F17" s="572">
        <v>22</v>
      </c>
      <c r="G17" s="575">
        <v>55</v>
      </c>
      <c r="H17" s="70">
        <v>805.1</v>
      </c>
      <c r="I17" s="550"/>
      <c r="J17" s="550"/>
      <c r="K17" s="550">
        <v>543.94000000000005</v>
      </c>
      <c r="L17" s="550">
        <v>547.82000000000005</v>
      </c>
      <c r="M17" s="550">
        <v>368.82</v>
      </c>
      <c r="N17" s="550">
        <v>353.81</v>
      </c>
      <c r="O17" s="550"/>
      <c r="P17" s="550"/>
      <c r="Q17" s="550"/>
      <c r="R17" s="550"/>
      <c r="S17" s="550"/>
      <c r="T17" s="550"/>
      <c r="U17" s="550"/>
      <c r="V17" s="550"/>
      <c r="W17" s="550">
        <v>6098.75</v>
      </c>
      <c r="X17" s="550">
        <v>7190.22</v>
      </c>
      <c r="Y17" s="443"/>
      <c r="Z17" s="444"/>
      <c r="AA17" s="566"/>
      <c r="AB17" s="566"/>
      <c r="AC17" s="566">
        <v>122349.26</v>
      </c>
      <c r="AD17" s="566">
        <v>113094.11</v>
      </c>
      <c r="AE17" s="566">
        <v>15524.75</v>
      </c>
      <c r="AF17" s="566"/>
      <c r="AG17" s="566">
        <f t="shared" si="0"/>
        <v>106824.51</v>
      </c>
      <c r="AH17" s="566">
        <f t="shared" si="1"/>
        <v>98743.734818143566</v>
      </c>
      <c r="AI17" s="581">
        <f t="shared" si="2"/>
        <v>113836.01999999999</v>
      </c>
      <c r="AJ17" s="581">
        <f t="shared" si="3"/>
        <v>106835.58481814357</v>
      </c>
      <c r="AK17" s="756">
        <f t="shared" si="4"/>
        <v>91963.014987172515</v>
      </c>
      <c r="AL17" s="567">
        <v>6000</v>
      </c>
      <c r="AM17" s="567"/>
      <c r="AN17" s="568">
        <v>553.38</v>
      </c>
      <c r="AO17" s="568"/>
      <c r="AP17" s="568">
        <f t="shared" si="5"/>
        <v>30011.369008535759</v>
      </c>
      <c r="AQ17" s="567">
        <v>16319.5</v>
      </c>
      <c r="AR17" s="568">
        <f t="shared" si="6"/>
        <v>986.63660133711016</v>
      </c>
      <c r="AS17" s="568">
        <f t="shared" si="7"/>
        <v>82.926382649995716</v>
      </c>
      <c r="AT17" s="567">
        <v>701.15</v>
      </c>
      <c r="AU17" s="569"/>
      <c r="AV17" s="569">
        <v>2927.78</v>
      </c>
      <c r="AW17" s="569">
        <f t="shared" si="8"/>
        <v>31046.515700914613</v>
      </c>
      <c r="AX17" s="569">
        <f t="shared" si="9"/>
        <v>3333.7572937350387</v>
      </c>
      <c r="AY17" s="569"/>
      <c r="AZ17" s="569"/>
      <c r="BA17" s="739">
        <f t="shared" si="10"/>
        <v>21873.005012827474</v>
      </c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</row>
    <row r="18" spans="1:69" s="71" customFormat="1" x14ac:dyDescent="0.25">
      <c r="A18" s="13">
        <v>10</v>
      </c>
      <c r="B18" s="199"/>
      <c r="C18" s="35" t="s">
        <v>21</v>
      </c>
      <c r="D18" s="13">
        <v>1963</v>
      </c>
      <c r="E18" s="572">
        <v>2</v>
      </c>
      <c r="F18" s="572">
        <v>16</v>
      </c>
      <c r="G18" s="574">
        <v>25</v>
      </c>
      <c r="H18" s="70">
        <v>636.21</v>
      </c>
      <c r="I18" s="550"/>
      <c r="J18" s="550"/>
      <c r="K18" s="550">
        <v>837.13</v>
      </c>
      <c r="L18" s="550">
        <v>905</v>
      </c>
      <c r="M18" s="550">
        <v>260.94</v>
      </c>
      <c r="N18" s="550">
        <v>255.42</v>
      </c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443"/>
      <c r="Z18" s="444"/>
      <c r="AA18" s="566"/>
      <c r="AB18" s="566"/>
      <c r="AC18" s="566">
        <v>88296.7</v>
      </c>
      <c r="AD18" s="566">
        <v>84192.41</v>
      </c>
      <c r="AE18" s="566">
        <v>11103.2</v>
      </c>
      <c r="AF18" s="566"/>
      <c r="AG18" s="566">
        <f t="shared" si="0"/>
        <v>77193.5</v>
      </c>
      <c r="AH18" s="566">
        <f t="shared" si="1"/>
        <v>73605.319353214785</v>
      </c>
      <c r="AI18" s="581">
        <f t="shared" ref="AI18:AI40" si="11">I18+K18+M18+O18+Q18+S18+U18+W18+Y18+AA18+AG18</f>
        <v>78291.570000000007</v>
      </c>
      <c r="AJ18" s="581">
        <f t="shared" si="3"/>
        <v>74765.739353214783</v>
      </c>
      <c r="AK18" s="756">
        <f t="shared" si="4"/>
        <v>72824.168718033819</v>
      </c>
      <c r="AL18" s="567"/>
      <c r="AM18" s="567"/>
      <c r="AN18" s="568">
        <v>415.05</v>
      </c>
      <c r="AO18" s="568"/>
      <c r="AP18" s="568">
        <f t="shared" si="5"/>
        <v>23715.728576475638</v>
      </c>
      <c r="AQ18" s="567">
        <v>12240.01</v>
      </c>
      <c r="AR18" s="568">
        <f t="shared" si="6"/>
        <v>779.66472753283176</v>
      </c>
      <c r="AS18" s="568">
        <f t="shared" si="7"/>
        <v>65.530485536894517</v>
      </c>
      <c r="AT18" s="567">
        <v>889.86</v>
      </c>
      <c r="AU18" s="569"/>
      <c r="AV18" s="569">
        <v>7550.18</v>
      </c>
      <c r="AW18" s="569">
        <f t="shared" si="8"/>
        <v>24533.727181814542</v>
      </c>
      <c r="AX18" s="569">
        <f t="shared" si="9"/>
        <v>2634.4177466739152</v>
      </c>
      <c r="AY18" s="569"/>
      <c r="AZ18" s="569"/>
      <c r="BA18" s="739">
        <f t="shared" si="10"/>
        <v>5467.4012819661875</v>
      </c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</row>
    <row r="19" spans="1:69" s="71" customFormat="1" x14ac:dyDescent="0.25">
      <c r="A19" s="13">
        <v>11</v>
      </c>
      <c r="B19" s="199"/>
      <c r="C19" s="35" t="s">
        <v>22</v>
      </c>
      <c r="D19" s="13">
        <v>1972</v>
      </c>
      <c r="E19" s="572">
        <v>2</v>
      </c>
      <c r="F19" s="572">
        <v>18</v>
      </c>
      <c r="G19" s="575">
        <v>44</v>
      </c>
      <c r="H19" s="70">
        <v>779.26</v>
      </c>
      <c r="I19" s="550"/>
      <c r="J19" s="550">
        <v>23.11</v>
      </c>
      <c r="K19" s="550">
        <v>2774.96</v>
      </c>
      <c r="L19" s="550">
        <v>2076.98</v>
      </c>
      <c r="M19" s="550">
        <v>229.26</v>
      </c>
      <c r="N19" s="550">
        <v>210.66</v>
      </c>
      <c r="O19" s="550"/>
      <c r="P19" s="550"/>
      <c r="Q19" s="550"/>
      <c r="R19" s="550"/>
      <c r="S19" s="550"/>
      <c r="T19" s="550"/>
      <c r="U19" s="550"/>
      <c r="V19" s="550"/>
      <c r="W19" s="550">
        <v>5556.24</v>
      </c>
      <c r="X19" s="550">
        <v>5487.85</v>
      </c>
      <c r="Y19" s="443"/>
      <c r="Z19" s="444"/>
      <c r="AA19" s="566"/>
      <c r="AB19" s="566"/>
      <c r="AC19" s="566">
        <v>101473.84</v>
      </c>
      <c r="AD19" s="566">
        <v>76424.789999999994</v>
      </c>
      <c r="AE19" s="566">
        <v>21431.02</v>
      </c>
      <c r="AF19" s="566"/>
      <c r="AG19" s="566">
        <f t="shared" si="0"/>
        <v>80042.819999999992</v>
      </c>
      <c r="AH19" s="566">
        <f t="shared" si="1"/>
        <v>60284.066410690662</v>
      </c>
      <c r="AI19" s="581">
        <f t="shared" si="11"/>
        <v>88603.28</v>
      </c>
      <c r="AJ19" s="581">
        <f t="shared" si="3"/>
        <v>68082.666410690668</v>
      </c>
      <c r="AK19" s="756">
        <f t="shared" si="4"/>
        <v>91497.611960382608</v>
      </c>
      <c r="AL19" s="567">
        <v>5400</v>
      </c>
      <c r="AM19" s="567"/>
      <c r="AN19" s="568">
        <v>508.35</v>
      </c>
      <c r="AO19" s="568"/>
      <c r="AP19" s="568">
        <f t="shared" si="5"/>
        <v>29048.142359447986</v>
      </c>
      <c r="AQ19" s="567">
        <v>14991.41</v>
      </c>
      <c r="AR19" s="568">
        <f t="shared" si="6"/>
        <v>954.97011297721576</v>
      </c>
      <c r="AS19" s="568">
        <f t="shared" si="7"/>
        <v>80.26482790191983</v>
      </c>
      <c r="AT19" s="567">
        <v>4512.13</v>
      </c>
      <c r="AU19" s="569"/>
      <c r="AV19" s="569">
        <v>2725.52</v>
      </c>
      <c r="AW19" s="569">
        <f t="shared" si="8"/>
        <v>30050.065613084982</v>
      </c>
      <c r="AX19" s="569">
        <f t="shared" si="9"/>
        <v>3226.7590469705206</v>
      </c>
      <c r="AY19" s="569"/>
      <c r="AZ19" s="569"/>
      <c r="BA19" s="739">
        <f t="shared" si="10"/>
        <v>-2894.3319603826094</v>
      </c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</row>
    <row r="20" spans="1:69" s="71" customFormat="1" x14ac:dyDescent="0.25">
      <c r="A20" s="13">
        <v>12</v>
      </c>
      <c r="B20" s="199"/>
      <c r="C20" s="35" t="s">
        <v>23</v>
      </c>
      <c r="D20" s="13">
        <v>1972</v>
      </c>
      <c r="E20" s="572">
        <v>2</v>
      </c>
      <c r="F20" s="572">
        <v>18</v>
      </c>
      <c r="G20" s="574">
        <v>44</v>
      </c>
      <c r="H20" s="70">
        <v>771.52</v>
      </c>
      <c r="I20" s="550"/>
      <c r="J20" s="550">
        <v>4.21</v>
      </c>
      <c r="K20" s="550">
        <v>2611.2399999999998</v>
      </c>
      <c r="L20" s="550">
        <v>2224.92</v>
      </c>
      <c r="M20" s="550">
        <v>229.26</v>
      </c>
      <c r="N20" s="550">
        <v>231.3</v>
      </c>
      <c r="O20" s="550"/>
      <c r="P20" s="550"/>
      <c r="Q20" s="550"/>
      <c r="R20" s="550"/>
      <c r="S20" s="550"/>
      <c r="T20" s="550"/>
      <c r="U20" s="550"/>
      <c r="V20" s="550"/>
      <c r="W20" s="550">
        <v>5740</v>
      </c>
      <c r="X20" s="550">
        <v>6170.17</v>
      </c>
      <c r="Y20" s="443"/>
      <c r="Z20" s="444"/>
      <c r="AA20" s="566"/>
      <c r="AB20" s="566"/>
      <c r="AC20" s="566">
        <v>100697.42</v>
      </c>
      <c r="AD20" s="566">
        <v>86092.31</v>
      </c>
      <c r="AE20" s="566">
        <v>7553.95</v>
      </c>
      <c r="AF20" s="566"/>
      <c r="AG20" s="566">
        <f t="shared" si="0"/>
        <v>93143.47</v>
      </c>
      <c r="AH20" s="566">
        <f t="shared" si="1"/>
        <v>79633.981622525185</v>
      </c>
      <c r="AI20" s="581">
        <f t="shared" si="11"/>
        <v>101723.97</v>
      </c>
      <c r="AJ20" s="581">
        <f t="shared" si="3"/>
        <v>88264.581622525191</v>
      </c>
      <c r="AK20" s="756">
        <f t="shared" si="4"/>
        <v>89245.366750345711</v>
      </c>
      <c r="AL20" s="567">
        <v>5400</v>
      </c>
      <c r="AM20" s="567"/>
      <c r="AN20" s="568">
        <v>502.8</v>
      </c>
      <c r="AO20" s="568"/>
      <c r="AP20" s="568">
        <f t="shared" si="5"/>
        <v>28759.62168359894</v>
      </c>
      <c r="AQ20" s="567">
        <v>14827.68</v>
      </c>
      <c r="AR20" s="568">
        <f t="shared" si="6"/>
        <v>945.48487226879547</v>
      </c>
      <c r="AS20" s="568">
        <f t="shared" si="7"/>
        <v>79.467597493633946</v>
      </c>
      <c r="AT20" s="567">
        <v>3003.31</v>
      </c>
      <c r="AU20" s="569"/>
      <c r="AV20" s="569">
        <v>2780.7</v>
      </c>
      <c r="AW20" s="569">
        <f t="shared" si="8"/>
        <v>29751.593334454901</v>
      </c>
      <c r="AX20" s="569">
        <f t="shared" si="9"/>
        <v>3194.7092625294458</v>
      </c>
      <c r="AY20" s="569"/>
      <c r="AZ20" s="569"/>
      <c r="BA20" s="739">
        <f t="shared" si="10"/>
        <v>12478.60324965429</v>
      </c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</row>
    <row r="21" spans="1:69" s="71" customFormat="1" x14ac:dyDescent="0.25">
      <c r="A21" s="13">
        <v>13</v>
      </c>
      <c r="B21" s="199"/>
      <c r="C21" s="35" t="s">
        <v>24</v>
      </c>
      <c r="D21" s="13">
        <v>1978</v>
      </c>
      <c r="E21" s="572">
        <v>3</v>
      </c>
      <c r="F21" s="572">
        <v>24</v>
      </c>
      <c r="G21" s="575">
        <v>68</v>
      </c>
      <c r="H21" s="588">
        <v>1443.9</v>
      </c>
      <c r="I21" s="550"/>
      <c r="J21" s="550">
        <v>7.4</v>
      </c>
      <c r="K21" s="550">
        <v>2333.52</v>
      </c>
      <c r="L21" s="550">
        <v>2362.0500000000002</v>
      </c>
      <c r="M21" s="550">
        <v>920.34</v>
      </c>
      <c r="N21" s="550">
        <v>1031.07</v>
      </c>
      <c r="O21" s="550">
        <v>3315.12</v>
      </c>
      <c r="P21" s="550">
        <v>4037.79</v>
      </c>
      <c r="Q21" s="550">
        <v>379.3</v>
      </c>
      <c r="R21" s="550">
        <v>365.74</v>
      </c>
      <c r="S21" s="550">
        <v>3087.38</v>
      </c>
      <c r="T21" s="550">
        <v>2526.09</v>
      </c>
      <c r="U21" s="550">
        <v>173.96</v>
      </c>
      <c r="V21" s="550">
        <v>83.97</v>
      </c>
      <c r="W21" s="550">
        <v>7533.75</v>
      </c>
      <c r="X21" s="550">
        <v>8936.93</v>
      </c>
      <c r="Y21" s="443"/>
      <c r="Z21" s="444"/>
      <c r="AA21" s="566"/>
      <c r="AB21" s="566"/>
      <c r="AC21" s="566">
        <v>254646.18</v>
      </c>
      <c r="AD21" s="566">
        <v>257475.36</v>
      </c>
      <c r="AE21" s="566">
        <v>18409.95</v>
      </c>
      <c r="AF21" s="566"/>
      <c r="AG21" s="566">
        <f t="shared" si="0"/>
        <v>236236.22999999998</v>
      </c>
      <c r="AH21" s="566">
        <f t="shared" si="1"/>
        <v>238860.87104975534</v>
      </c>
      <c r="AI21" s="581">
        <f t="shared" si="11"/>
        <v>253979.59999999998</v>
      </c>
      <c r="AJ21" s="581">
        <f t="shared" si="3"/>
        <v>258211.91104975535</v>
      </c>
      <c r="AK21" s="756">
        <f t="shared" si="4"/>
        <v>216477.88529210771</v>
      </c>
      <c r="AL21" s="567">
        <v>7200</v>
      </c>
      <c r="AM21" s="567"/>
      <c r="AN21" s="568">
        <v>941.87</v>
      </c>
      <c r="AO21" s="568">
        <v>3742.2</v>
      </c>
      <c r="AP21" s="568">
        <f t="shared" si="5"/>
        <v>53823.643909358812</v>
      </c>
      <c r="AQ21" s="567">
        <v>27775.99</v>
      </c>
      <c r="AR21" s="568">
        <f t="shared" si="6"/>
        <v>1769.4753306057055</v>
      </c>
      <c r="AS21" s="568">
        <f t="shared" si="7"/>
        <v>148.72364166976627</v>
      </c>
      <c r="AT21" s="567">
        <v>4971.7</v>
      </c>
      <c r="AU21" s="569"/>
      <c r="AV21" s="569">
        <v>5024</v>
      </c>
      <c r="AW21" s="569">
        <f t="shared" si="8"/>
        <v>55680.119265371519</v>
      </c>
      <c r="AX21" s="569">
        <f t="shared" si="9"/>
        <v>5978.8997098795462</v>
      </c>
      <c r="AY21" s="569"/>
      <c r="AZ21" s="569">
        <f t="shared" ref="AZ21:AZ26" si="12">572179.05/16716.88*H21</f>
        <v>49421.263435222369</v>
      </c>
      <c r="BA21" s="739">
        <f t="shared" si="10"/>
        <v>37501.714707892272</v>
      </c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</row>
    <row r="22" spans="1:69" s="71" customFormat="1" x14ac:dyDescent="0.25">
      <c r="A22" s="13">
        <v>14</v>
      </c>
      <c r="B22" s="199"/>
      <c r="C22" s="35" t="s">
        <v>25</v>
      </c>
      <c r="D22" s="13">
        <v>1979</v>
      </c>
      <c r="E22" s="572">
        <v>5</v>
      </c>
      <c r="F22" s="572">
        <v>60</v>
      </c>
      <c r="G22" s="574">
        <v>181</v>
      </c>
      <c r="H22" s="588">
        <v>3240.38</v>
      </c>
      <c r="I22" s="550"/>
      <c r="J22" s="550">
        <v>31.5</v>
      </c>
      <c r="K22" s="550">
        <v>4668.93</v>
      </c>
      <c r="L22" s="550">
        <v>4638.5600000000004</v>
      </c>
      <c r="M22" s="550">
        <v>2084.44</v>
      </c>
      <c r="N22" s="550">
        <v>2350.12</v>
      </c>
      <c r="O22" s="550">
        <v>1684.7</v>
      </c>
      <c r="P22" s="550">
        <v>2573.59</v>
      </c>
      <c r="Q22" s="550">
        <v>183.56</v>
      </c>
      <c r="R22" s="550">
        <v>56.59</v>
      </c>
      <c r="S22" s="550">
        <v>2237.84</v>
      </c>
      <c r="T22" s="550">
        <v>1423.92</v>
      </c>
      <c r="U22" s="550">
        <v>213.73</v>
      </c>
      <c r="V22" s="550">
        <v>196.21</v>
      </c>
      <c r="W22" s="550">
        <v>16143.75</v>
      </c>
      <c r="X22" s="550">
        <v>19676.18</v>
      </c>
      <c r="Y22" s="443"/>
      <c r="Z22" s="444"/>
      <c r="AA22" s="566">
        <v>25200</v>
      </c>
      <c r="AB22" s="566">
        <v>25611.53</v>
      </c>
      <c r="AC22" s="566">
        <v>586572.36</v>
      </c>
      <c r="AD22" s="566">
        <v>579742.17000000004</v>
      </c>
      <c r="AE22" s="566">
        <v>39058.29</v>
      </c>
      <c r="AF22" s="566"/>
      <c r="AG22" s="566">
        <f t="shared" si="0"/>
        <v>547514.06999999995</v>
      </c>
      <c r="AH22" s="566">
        <f t="shared" si="1"/>
        <v>541138.68414688332</v>
      </c>
      <c r="AI22" s="581">
        <f t="shared" si="11"/>
        <v>599931.0199999999</v>
      </c>
      <c r="AJ22" s="581">
        <f t="shared" si="3"/>
        <v>597696.88414688327</v>
      </c>
      <c r="AK22" s="756">
        <f t="shared" si="4"/>
        <v>514601.86896117462</v>
      </c>
      <c r="AL22" s="567">
        <v>18000</v>
      </c>
      <c r="AM22" s="567">
        <v>25200</v>
      </c>
      <c r="AN22" s="568">
        <v>2114.17</v>
      </c>
      <c r="AO22" s="568">
        <v>4989.6000000000004</v>
      </c>
      <c r="AP22" s="568">
        <f t="shared" si="5"/>
        <v>120790.26196482312</v>
      </c>
      <c r="AQ22" s="567">
        <v>62353.65</v>
      </c>
      <c r="AR22" s="568">
        <f t="shared" si="6"/>
        <v>3971.0315615957584</v>
      </c>
      <c r="AS22" s="568">
        <f t="shared" si="7"/>
        <v>333.76349746788361</v>
      </c>
      <c r="AT22" s="567">
        <v>4962.76</v>
      </c>
      <c r="AU22" s="569">
        <v>6727</v>
      </c>
      <c r="AV22" s="569">
        <v>13354.83</v>
      </c>
      <c r="AW22" s="569">
        <f t="shared" si="8"/>
        <v>124956.53775547098</v>
      </c>
      <c r="AX22" s="569">
        <f t="shared" si="9"/>
        <v>13417.76233942758</v>
      </c>
      <c r="AY22" s="569">
        <v>2520</v>
      </c>
      <c r="AZ22" s="569">
        <f t="shared" si="12"/>
        <v>110910.50184238926</v>
      </c>
      <c r="BA22" s="739">
        <f t="shared" si="10"/>
        <v>85329.151038825279</v>
      </c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</row>
    <row r="23" spans="1:69" s="71" customFormat="1" x14ac:dyDescent="0.25">
      <c r="A23" s="13">
        <v>15</v>
      </c>
      <c r="B23" s="199"/>
      <c r="C23" s="35" t="s">
        <v>26</v>
      </c>
      <c r="D23" s="13">
        <v>1981</v>
      </c>
      <c r="E23" s="572">
        <v>5</v>
      </c>
      <c r="F23" s="572">
        <v>60</v>
      </c>
      <c r="G23" s="575">
        <v>163</v>
      </c>
      <c r="H23" s="588">
        <v>3236.3</v>
      </c>
      <c r="I23" s="550"/>
      <c r="J23" s="550">
        <v>52.53</v>
      </c>
      <c r="K23" s="550">
        <v>5162.3100000000004</v>
      </c>
      <c r="L23" s="550">
        <v>5040.95</v>
      </c>
      <c r="M23" s="550">
        <v>2063.7399999999998</v>
      </c>
      <c r="N23" s="550">
        <v>2261.4899999999998</v>
      </c>
      <c r="O23" s="550"/>
      <c r="P23" s="550">
        <v>62.62</v>
      </c>
      <c r="Q23" s="550"/>
      <c r="R23" s="550"/>
      <c r="S23" s="550"/>
      <c r="T23" s="550"/>
      <c r="U23" s="550">
        <v>339.3</v>
      </c>
      <c r="V23" s="550">
        <v>8.61</v>
      </c>
      <c r="W23" s="550">
        <v>19941.21</v>
      </c>
      <c r="X23" s="550">
        <v>22614.17</v>
      </c>
      <c r="Y23" s="443"/>
      <c r="Z23" s="444"/>
      <c r="AA23" s="566">
        <v>25200</v>
      </c>
      <c r="AB23" s="566">
        <v>24831.5</v>
      </c>
      <c r="AC23" s="566">
        <v>588322.1</v>
      </c>
      <c r="AD23" s="566">
        <v>567727.81999999995</v>
      </c>
      <c r="AE23" s="566">
        <v>37708.6</v>
      </c>
      <c r="AF23" s="566"/>
      <c r="AG23" s="566">
        <f t="shared" si="0"/>
        <v>550613.5</v>
      </c>
      <c r="AH23" s="566">
        <f t="shared" si="1"/>
        <v>531339.21370210289</v>
      </c>
      <c r="AI23" s="581">
        <f t="shared" si="11"/>
        <v>603320.06000000006</v>
      </c>
      <c r="AJ23" s="581">
        <f t="shared" si="3"/>
        <v>586211.08370210289</v>
      </c>
      <c r="AK23" s="756">
        <f t="shared" si="4"/>
        <v>514640.48294331203</v>
      </c>
      <c r="AL23" s="567">
        <v>18000</v>
      </c>
      <c r="AM23" s="567">
        <v>25200</v>
      </c>
      <c r="AN23" s="568">
        <v>2111.34</v>
      </c>
      <c r="AO23" s="568">
        <v>4989.6000000000004</v>
      </c>
      <c r="AP23" s="568">
        <f t="shared" si="5"/>
        <v>120638.17354654611</v>
      </c>
      <c r="AQ23" s="567">
        <v>62265.43</v>
      </c>
      <c r="AR23" s="568">
        <f t="shared" si="6"/>
        <v>3966.0315897494593</v>
      </c>
      <c r="AS23" s="568">
        <f t="shared" si="7"/>
        <v>333.34325198134536</v>
      </c>
      <c r="AT23" s="567">
        <v>5770.94</v>
      </c>
      <c r="AU23" s="569">
        <v>6727</v>
      </c>
      <c r="AV23" s="569">
        <v>13147.7</v>
      </c>
      <c r="AW23" s="569">
        <f t="shared" si="8"/>
        <v>124799.20353107684</v>
      </c>
      <c r="AX23" s="569">
        <f t="shared" si="9"/>
        <v>13400.86787941213</v>
      </c>
      <c r="AY23" s="569">
        <v>2520</v>
      </c>
      <c r="AZ23" s="569">
        <f t="shared" si="12"/>
        <v>110770.85314454613</v>
      </c>
      <c r="BA23" s="739">
        <f t="shared" si="10"/>
        <v>88679.577056688024</v>
      </c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</row>
    <row r="24" spans="1:69" s="71" customFormat="1" x14ac:dyDescent="0.25">
      <c r="A24" s="13">
        <v>16</v>
      </c>
      <c r="B24" s="199"/>
      <c r="C24" s="35" t="s">
        <v>27</v>
      </c>
      <c r="D24" s="13">
        <v>1981</v>
      </c>
      <c r="E24" s="572">
        <v>5</v>
      </c>
      <c r="F24" s="572">
        <v>60</v>
      </c>
      <c r="G24" s="574">
        <v>184</v>
      </c>
      <c r="H24" s="588">
        <v>3236.3</v>
      </c>
      <c r="I24" s="550"/>
      <c r="J24" s="550">
        <v>105.99</v>
      </c>
      <c r="K24" s="550">
        <v>3007.9</v>
      </c>
      <c r="L24" s="550">
        <v>3116.7</v>
      </c>
      <c r="M24" s="550">
        <v>2059.35</v>
      </c>
      <c r="N24" s="550">
        <v>2309.4499999999998</v>
      </c>
      <c r="O24" s="550"/>
      <c r="P24" s="550">
        <v>125</v>
      </c>
      <c r="Q24" s="550"/>
      <c r="R24" s="550">
        <v>10.16</v>
      </c>
      <c r="S24" s="550">
        <v>1911.07</v>
      </c>
      <c r="T24" s="550">
        <v>1911.07</v>
      </c>
      <c r="U24" s="550"/>
      <c r="V24" s="550">
        <v>320.52999999999997</v>
      </c>
      <c r="W24" s="550">
        <v>13273.75</v>
      </c>
      <c r="X24" s="550">
        <v>15125.56</v>
      </c>
      <c r="Y24" s="443"/>
      <c r="Z24" s="444"/>
      <c r="AA24" s="566">
        <v>24780</v>
      </c>
      <c r="AB24" s="566">
        <v>24497.55</v>
      </c>
      <c r="AC24" s="566">
        <v>587149.85</v>
      </c>
      <c r="AD24" s="566">
        <v>572783.30000000005</v>
      </c>
      <c r="AE24" s="566">
        <v>56667.96</v>
      </c>
      <c r="AF24" s="566"/>
      <c r="AG24" s="566">
        <f t="shared" si="0"/>
        <v>530481.89</v>
      </c>
      <c r="AH24" s="566">
        <f t="shared" si="1"/>
        <v>517501.90780843602</v>
      </c>
      <c r="AI24" s="581">
        <f t="shared" si="11"/>
        <v>575513.96</v>
      </c>
      <c r="AJ24" s="581">
        <f t="shared" si="3"/>
        <v>565023.91780843597</v>
      </c>
      <c r="AK24" s="756">
        <f t="shared" si="4"/>
        <v>509861.36294331204</v>
      </c>
      <c r="AL24" s="567">
        <v>18000</v>
      </c>
      <c r="AM24" s="567">
        <v>24780</v>
      </c>
      <c r="AN24" s="568">
        <v>2112.2600000000002</v>
      </c>
      <c r="AO24" s="568">
        <v>4989.6000000000004</v>
      </c>
      <c r="AP24" s="568">
        <f t="shared" si="5"/>
        <v>120638.17354654611</v>
      </c>
      <c r="AQ24" s="567">
        <v>62291.44</v>
      </c>
      <c r="AR24" s="568">
        <f t="shared" si="6"/>
        <v>3966.0315897494593</v>
      </c>
      <c r="AS24" s="568">
        <f t="shared" si="7"/>
        <v>333.34325198134536</v>
      </c>
      <c r="AT24" s="567">
        <v>3169.49</v>
      </c>
      <c r="AU24" s="569">
        <v>6727</v>
      </c>
      <c r="AV24" s="569">
        <v>11363.1</v>
      </c>
      <c r="AW24" s="569">
        <f t="shared" si="8"/>
        <v>124799.20353107684</v>
      </c>
      <c r="AX24" s="569">
        <f t="shared" si="9"/>
        <v>13400.86787941213</v>
      </c>
      <c r="AY24" s="569">
        <v>2520</v>
      </c>
      <c r="AZ24" s="569">
        <f t="shared" si="12"/>
        <v>110770.85314454613</v>
      </c>
      <c r="BA24" s="739">
        <f t="shared" si="10"/>
        <v>65652.597056687926</v>
      </c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</row>
    <row r="25" spans="1:69" s="71" customFormat="1" x14ac:dyDescent="0.25">
      <c r="A25" s="13">
        <v>17</v>
      </c>
      <c r="B25" s="199"/>
      <c r="C25" s="35" t="s">
        <v>28</v>
      </c>
      <c r="D25" s="13">
        <v>1987</v>
      </c>
      <c r="E25" s="572">
        <v>3</v>
      </c>
      <c r="F25" s="572">
        <v>27</v>
      </c>
      <c r="G25" s="575">
        <v>72</v>
      </c>
      <c r="H25" s="588">
        <v>1466.1</v>
      </c>
      <c r="I25" s="550"/>
      <c r="J25" s="550">
        <v>0.01</v>
      </c>
      <c r="K25" s="550">
        <v>2953.48</v>
      </c>
      <c r="L25" s="550">
        <v>2913.18</v>
      </c>
      <c r="M25" s="550">
        <v>1287.92</v>
      </c>
      <c r="N25" s="550">
        <v>1412.57</v>
      </c>
      <c r="O25" s="550">
        <v>3505.95</v>
      </c>
      <c r="P25" s="550">
        <v>3999.66</v>
      </c>
      <c r="Q25" s="550">
        <v>422.86</v>
      </c>
      <c r="R25" s="550">
        <v>276.55</v>
      </c>
      <c r="S25" s="550">
        <v>3178.28</v>
      </c>
      <c r="T25" s="550">
        <v>2325.27</v>
      </c>
      <c r="U25" s="550">
        <v>141.58000000000001</v>
      </c>
      <c r="V25" s="550">
        <v>136.4</v>
      </c>
      <c r="W25" s="550">
        <v>8968.75</v>
      </c>
      <c r="X25" s="550">
        <v>10321.89</v>
      </c>
      <c r="Y25" s="443"/>
      <c r="Z25" s="444"/>
      <c r="AA25" s="566">
        <v>11340</v>
      </c>
      <c r="AB25" s="566">
        <v>11314.49</v>
      </c>
      <c r="AC25" s="566">
        <v>277873.53000000003</v>
      </c>
      <c r="AD25" s="566">
        <v>272024.78999999998</v>
      </c>
      <c r="AE25" s="566">
        <v>18098.849999999999</v>
      </c>
      <c r="AF25" s="566"/>
      <c r="AG25" s="566">
        <f t="shared" si="0"/>
        <v>259774.68000000002</v>
      </c>
      <c r="AH25" s="566">
        <f t="shared" si="1"/>
        <v>254306.88836866611</v>
      </c>
      <c r="AI25" s="581">
        <f t="shared" si="11"/>
        <v>291573.5</v>
      </c>
      <c r="AJ25" s="581">
        <f t="shared" si="3"/>
        <v>287006.90836866613</v>
      </c>
      <c r="AK25" s="756">
        <f t="shared" si="4"/>
        <v>243946.77980106595</v>
      </c>
      <c r="AL25" s="567">
        <v>8100</v>
      </c>
      <c r="AM25" s="567">
        <v>11340</v>
      </c>
      <c r="AN25" s="568">
        <v>955.96</v>
      </c>
      <c r="AO25" s="568">
        <v>4613.3999999999996</v>
      </c>
      <c r="AP25" s="568">
        <f t="shared" si="5"/>
        <v>54651.18383233669</v>
      </c>
      <c r="AQ25" s="567">
        <v>28191.51</v>
      </c>
      <c r="AR25" s="568">
        <f t="shared" si="6"/>
        <v>1796.6810597693916</v>
      </c>
      <c r="AS25" s="568">
        <f t="shared" si="7"/>
        <v>151.01027152298931</v>
      </c>
      <c r="AT25" s="567">
        <v>5338.27</v>
      </c>
      <c r="AU25" s="569">
        <v>6727</v>
      </c>
      <c r="AV25" s="569">
        <v>6773.62</v>
      </c>
      <c r="AW25" s="569">
        <f t="shared" si="8"/>
        <v>56536.202545163222</v>
      </c>
      <c r="AX25" s="569">
        <f t="shared" si="9"/>
        <v>6070.825448198907</v>
      </c>
      <c r="AY25" s="569">
        <v>2520</v>
      </c>
      <c r="AZ25" s="569">
        <f t="shared" si="12"/>
        <v>50181.116644074733</v>
      </c>
      <c r="BA25" s="739">
        <f t="shared" si="10"/>
        <v>47626.720198934054</v>
      </c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</row>
    <row r="26" spans="1:69" s="71" customFormat="1" x14ac:dyDescent="0.25">
      <c r="A26" s="13">
        <v>18</v>
      </c>
      <c r="B26" s="199"/>
      <c r="C26" s="35" t="s">
        <v>29</v>
      </c>
      <c r="D26" s="13">
        <v>1989</v>
      </c>
      <c r="E26" s="572">
        <v>3</v>
      </c>
      <c r="F26" s="572">
        <v>27</v>
      </c>
      <c r="G26" s="574">
        <v>78</v>
      </c>
      <c r="H26" s="588">
        <v>1468.1</v>
      </c>
      <c r="I26" s="550"/>
      <c r="J26" s="550"/>
      <c r="K26" s="550">
        <v>2507.84</v>
      </c>
      <c r="L26" s="550">
        <v>2511.54</v>
      </c>
      <c r="M26" s="550">
        <v>1287.6600000000001</v>
      </c>
      <c r="N26" s="550">
        <v>1435.84</v>
      </c>
      <c r="O26" s="550">
        <v>4165.29</v>
      </c>
      <c r="P26" s="550">
        <v>5093.41</v>
      </c>
      <c r="Q26" s="550">
        <v>476.48</v>
      </c>
      <c r="R26" s="550">
        <v>464.08</v>
      </c>
      <c r="S26" s="550">
        <v>3879.62</v>
      </c>
      <c r="T26" s="550">
        <v>3180.6</v>
      </c>
      <c r="U26" s="550">
        <v>218.56</v>
      </c>
      <c r="V26" s="550">
        <v>102.75</v>
      </c>
      <c r="W26" s="550">
        <v>7533.75</v>
      </c>
      <c r="X26" s="550">
        <v>8959.2099999999991</v>
      </c>
      <c r="Y26" s="443"/>
      <c r="Z26" s="444"/>
      <c r="AA26" s="566">
        <v>11340</v>
      </c>
      <c r="AB26" s="566">
        <v>11441.04</v>
      </c>
      <c r="AC26" s="566">
        <v>259960.66</v>
      </c>
      <c r="AD26" s="566">
        <v>256849.46</v>
      </c>
      <c r="AE26" s="566">
        <v>18582.52</v>
      </c>
      <c r="AF26" s="566"/>
      <c r="AG26" s="566">
        <f t="shared" si="0"/>
        <v>241378.14</v>
      </c>
      <c r="AH26" s="566">
        <f t="shared" si="1"/>
        <v>238489.33494323489</v>
      </c>
      <c r="AI26" s="581">
        <f t="shared" si="11"/>
        <v>272787.34000000003</v>
      </c>
      <c r="AJ26" s="581">
        <f t="shared" si="3"/>
        <v>271677.80494323489</v>
      </c>
      <c r="AK26" s="756">
        <f t="shared" si="4"/>
        <v>221811.27137844954</v>
      </c>
      <c r="AL26" s="567"/>
      <c r="AM26" s="567">
        <v>11340</v>
      </c>
      <c r="AN26" s="568">
        <v>958.18</v>
      </c>
      <c r="AO26" s="568">
        <v>3742.2</v>
      </c>
      <c r="AP26" s="568">
        <f t="shared" si="5"/>
        <v>54725.736978550915</v>
      </c>
      <c r="AQ26" s="567">
        <v>28258.33</v>
      </c>
      <c r="AR26" s="568">
        <f t="shared" si="6"/>
        <v>1799.1320263607147</v>
      </c>
      <c r="AS26" s="568">
        <f t="shared" si="7"/>
        <v>151.21627421246887</v>
      </c>
      <c r="AT26" s="567">
        <v>2782.83</v>
      </c>
      <c r="AU26" s="569"/>
      <c r="AV26" s="569">
        <v>5111.6400000000003</v>
      </c>
      <c r="AW26" s="569">
        <f t="shared" si="8"/>
        <v>56613.327164964277</v>
      </c>
      <c r="AX26" s="569">
        <f t="shared" si="9"/>
        <v>6079.1070462456955</v>
      </c>
      <c r="AY26" s="569"/>
      <c r="AZ26" s="569">
        <f t="shared" si="12"/>
        <v>50249.57188811549</v>
      </c>
      <c r="BA26" s="739">
        <f t="shared" si="10"/>
        <v>50976.068621550483</v>
      </c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</row>
    <row r="27" spans="1:69" s="71" customFormat="1" x14ac:dyDescent="0.25">
      <c r="A27" s="13">
        <v>19</v>
      </c>
      <c r="B27" s="199"/>
      <c r="C27" s="35" t="s">
        <v>160</v>
      </c>
      <c r="D27" s="13">
        <v>1961</v>
      </c>
      <c r="E27" s="572">
        <v>1</v>
      </c>
      <c r="F27" s="572">
        <v>5</v>
      </c>
      <c r="G27" s="572">
        <v>11</v>
      </c>
      <c r="H27" s="70">
        <v>180.6</v>
      </c>
      <c r="I27" s="550"/>
      <c r="J27" s="550"/>
      <c r="K27" s="550"/>
      <c r="L27" s="550"/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550"/>
      <c r="X27" s="550"/>
      <c r="Y27" s="443"/>
      <c r="Z27" s="444"/>
      <c r="AA27" s="566"/>
      <c r="AB27" s="566"/>
      <c r="AC27" s="566">
        <v>13156.72</v>
      </c>
      <c r="AD27" s="566">
        <v>8808.93</v>
      </c>
      <c r="AE27" s="566"/>
      <c r="AF27" s="566"/>
      <c r="AG27" s="566">
        <f t="shared" si="0"/>
        <v>13156.72</v>
      </c>
      <c r="AH27" s="566">
        <f t="shared" si="1"/>
        <v>8808.93</v>
      </c>
      <c r="AI27" s="581">
        <f t="shared" si="11"/>
        <v>13156.72</v>
      </c>
      <c r="AJ27" s="581">
        <f t="shared" si="3"/>
        <v>8808.93</v>
      </c>
      <c r="AK27" s="756">
        <f t="shared" si="4"/>
        <v>16689.844900861204</v>
      </c>
      <c r="AL27" s="567"/>
      <c r="AM27" s="567"/>
      <c r="AN27" s="568">
        <v>117.8</v>
      </c>
      <c r="AO27" s="568"/>
      <c r="AP27" s="568">
        <f t="shared" si="5"/>
        <v>6732.1491031444011</v>
      </c>
      <c r="AQ27" s="567">
        <v>1288.8800000000001</v>
      </c>
      <c r="AR27" s="568">
        <f t="shared" si="6"/>
        <v>221.32228319647507</v>
      </c>
      <c r="AS27" s="568">
        <f t="shared" si="7"/>
        <v>18.602042860004005</v>
      </c>
      <c r="AT27" s="567"/>
      <c r="AU27" s="583"/>
      <c r="AV27" s="569">
        <v>598.91</v>
      </c>
      <c r="AW27" s="569">
        <f t="shared" si="8"/>
        <v>6964.3531680352489</v>
      </c>
      <c r="AX27" s="569">
        <f t="shared" si="9"/>
        <v>747.82830362507502</v>
      </c>
      <c r="AY27" s="569"/>
      <c r="AZ27" s="569"/>
      <c r="BA27" s="739">
        <f t="shared" si="10"/>
        <v>-3533.1249008612049</v>
      </c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</row>
    <row r="28" spans="1:69" s="71" customFormat="1" x14ac:dyDescent="0.25">
      <c r="A28" s="13">
        <v>21</v>
      </c>
      <c r="B28" s="199"/>
      <c r="C28" s="35" t="s">
        <v>30</v>
      </c>
      <c r="D28" s="13">
        <v>1958</v>
      </c>
      <c r="E28" s="572">
        <v>1</v>
      </c>
      <c r="F28" s="572">
        <v>2</v>
      </c>
      <c r="G28" s="572">
        <v>1</v>
      </c>
      <c r="H28" s="70">
        <v>82.9</v>
      </c>
      <c r="I28" s="550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443"/>
      <c r="Z28" s="444"/>
      <c r="AA28" s="566"/>
      <c r="AB28" s="566"/>
      <c r="AC28" s="566">
        <v>3467.66</v>
      </c>
      <c r="AD28" s="566">
        <v>0</v>
      </c>
      <c r="AE28" s="566"/>
      <c r="AF28" s="566"/>
      <c r="AG28" s="566">
        <f t="shared" si="0"/>
        <v>3467.66</v>
      </c>
      <c r="AH28" s="566">
        <f t="shared" si="1"/>
        <v>0</v>
      </c>
      <c r="AI28" s="581">
        <f t="shared" si="11"/>
        <v>3467.66</v>
      </c>
      <c r="AJ28" s="581">
        <f t="shared" si="3"/>
        <v>0</v>
      </c>
      <c r="AK28" s="756">
        <f t="shared" si="4"/>
        <v>7459.8470170619821</v>
      </c>
      <c r="AL28" s="567"/>
      <c r="AM28" s="567"/>
      <c r="AN28" s="568">
        <v>54.07</v>
      </c>
      <c r="AO28" s="568"/>
      <c r="AP28" s="568">
        <f t="shared" si="5"/>
        <v>3090.2279105795733</v>
      </c>
      <c r="AQ28" s="567">
        <v>390.41</v>
      </c>
      <c r="AR28" s="568">
        <f t="shared" si="6"/>
        <v>101.59256521034212</v>
      </c>
      <c r="AS28" s="568">
        <f t="shared" si="7"/>
        <v>8.5388114789276433</v>
      </c>
      <c r="AT28" s="567"/>
      <c r="AU28" s="583"/>
      <c r="AV28" s="569">
        <v>274.92</v>
      </c>
      <c r="AW28" s="569">
        <f t="shared" si="8"/>
        <v>3196.8154907537219</v>
      </c>
      <c r="AX28" s="569">
        <f t="shared" si="9"/>
        <v>343.27223903941712</v>
      </c>
      <c r="AY28" s="569"/>
      <c r="AZ28" s="569"/>
      <c r="BA28" s="739">
        <f t="shared" si="10"/>
        <v>-3992.1870170619823</v>
      </c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</row>
    <row r="29" spans="1:69" s="71" customFormat="1" x14ac:dyDescent="0.25">
      <c r="A29" s="13">
        <v>22</v>
      </c>
      <c r="B29" s="200">
        <v>42461</v>
      </c>
      <c r="C29" s="35" t="s">
        <v>31</v>
      </c>
      <c r="D29" s="13">
        <v>1962</v>
      </c>
      <c r="E29" s="572">
        <v>1</v>
      </c>
      <c r="F29" s="572">
        <v>2</v>
      </c>
      <c r="G29" s="572">
        <v>8</v>
      </c>
      <c r="H29" s="70">
        <v>79.400000000000006</v>
      </c>
      <c r="I29" s="550"/>
      <c r="J29" s="550"/>
      <c r="K29" s="550"/>
      <c r="L29" s="550"/>
      <c r="M29" s="550"/>
      <c r="N29" s="550"/>
      <c r="O29" s="550"/>
      <c r="P29" s="550"/>
      <c r="Q29" s="550"/>
      <c r="R29" s="550"/>
      <c r="S29" s="550"/>
      <c r="T29" s="550"/>
      <c r="U29" s="550"/>
      <c r="V29" s="550"/>
      <c r="W29" s="550"/>
      <c r="X29" s="550"/>
      <c r="Y29" s="443"/>
      <c r="Z29" s="444"/>
      <c r="AA29" s="566"/>
      <c r="AB29" s="566"/>
      <c r="AC29" s="566">
        <v>5907.36</v>
      </c>
      <c r="AD29" s="566">
        <v>5661.22</v>
      </c>
      <c r="AE29" s="566"/>
      <c r="AF29" s="566"/>
      <c r="AG29" s="566">
        <f t="shared" si="0"/>
        <v>5907.36</v>
      </c>
      <c r="AH29" s="566">
        <f t="shared" si="1"/>
        <v>5661.22</v>
      </c>
      <c r="AI29" s="581">
        <f t="shared" si="11"/>
        <v>5907.36</v>
      </c>
      <c r="AJ29" s="581">
        <f t="shared" si="3"/>
        <v>5661.22</v>
      </c>
      <c r="AK29" s="756">
        <f t="shared" si="4"/>
        <v>7871.308433711959</v>
      </c>
      <c r="AL29" s="567"/>
      <c r="AM29" s="567"/>
      <c r="AN29" s="568">
        <v>51.79</v>
      </c>
      <c r="AO29" s="568"/>
      <c r="AP29" s="568">
        <f t="shared" si="5"/>
        <v>2959.759904704682</v>
      </c>
      <c r="AQ29" s="567">
        <v>1037.51</v>
      </c>
      <c r="AR29" s="568">
        <f t="shared" si="6"/>
        <v>97.303373675526714</v>
      </c>
      <c r="AS29" s="568">
        <f t="shared" si="7"/>
        <v>8.1783067723384182</v>
      </c>
      <c r="AT29" s="567"/>
      <c r="AU29" s="583"/>
      <c r="AV29" s="569">
        <v>326.14</v>
      </c>
      <c r="AW29" s="569">
        <f t="shared" si="8"/>
        <v>3061.847406101876</v>
      </c>
      <c r="AX29" s="569">
        <f t="shared" si="9"/>
        <v>328.77944245753582</v>
      </c>
      <c r="AY29" s="569"/>
      <c r="AZ29" s="569"/>
      <c r="BA29" s="739">
        <f t="shared" si="10"/>
        <v>-1963.9484337119593</v>
      </c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</row>
    <row r="30" spans="1:69" s="71" customFormat="1" x14ac:dyDescent="0.25">
      <c r="A30" s="13">
        <v>23</v>
      </c>
      <c r="B30" s="200">
        <v>42461</v>
      </c>
      <c r="C30" s="35" t="s">
        <v>32</v>
      </c>
      <c r="D30" s="13">
        <v>1955</v>
      </c>
      <c r="E30" s="572">
        <v>1</v>
      </c>
      <c r="F30" s="572">
        <v>4</v>
      </c>
      <c r="G30" s="572">
        <v>6</v>
      </c>
      <c r="H30" s="70">
        <v>121.87</v>
      </c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443"/>
      <c r="Z30" s="444"/>
      <c r="AA30" s="566"/>
      <c r="AB30" s="566"/>
      <c r="AC30" s="566">
        <v>9067.08</v>
      </c>
      <c r="AD30" s="566">
        <v>9253.08</v>
      </c>
      <c r="AE30" s="566"/>
      <c r="AF30" s="566"/>
      <c r="AG30" s="566">
        <f t="shared" si="0"/>
        <v>9067.08</v>
      </c>
      <c r="AH30" s="566">
        <f t="shared" si="1"/>
        <v>9253.08</v>
      </c>
      <c r="AI30" s="581">
        <f t="shared" si="11"/>
        <v>9067.08</v>
      </c>
      <c r="AJ30" s="581">
        <f t="shared" si="3"/>
        <v>9253.08</v>
      </c>
      <c r="AK30" s="756">
        <f t="shared" si="4"/>
        <v>11957.076272247812</v>
      </c>
      <c r="AL30" s="567"/>
      <c r="AM30" s="567"/>
      <c r="AN30" s="568">
        <v>79.5</v>
      </c>
      <c r="AO30" s="568"/>
      <c r="AP30" s="568">
        <f t="shared" si="5"/>
        <v>4542.8959645637224</v>
      </c>
      <c r="AQ30" s="567">
        <v>1564.4</v>
      </c>
      <c r="AR30" s="568">
        <f t="shared" si="6"/>
        <v>149.34964924227253</v>
      </c>
      <c r="AS30" s="568">
        <f t="shared" si="7"/>
        <v>12.552773883436812</v>
      </c>
      <c r="AT30" s="567"/>
      <c r="AU30" s="583"/>
      <c r="AV30" s="569">
        <v>404.15</v>
      </c>
      <c r="AW30" s="569">
        <f t="shared" si="8"/>
        <v>4699.5887075772744</v>
      </c>
      <c r="AX30" s="569">
        <f t="shared" si="9"/>
        <v>504.63917698110691</v>
      </c>
      <c r="AY30" s="569"/>
      <c r="AZ30" s="569"/>
      <c r="BA30" s="739">
        <f t="shared" si="10"/>
        <v>-2889.9962722478122</v>
      </c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</row>
    <row r="31" spans="1:69" s="71" customFormat="1" x14ac:dyDescent="0.25">
      <c r="A31" s="13">
        <v>24</v>
      </c>
      <c r="B31" s="199"/>
      <c r="C31" s="35" t="s">
        <v>33</v>
      </c>
      <c r="D31" s="13">
        <v>1976</v>
      </c>
      <c r="E31" s="572">
        <v>2</v>
      </c>
      <c r="F31" s="572">
        <v>4</v>
      </c>
      <c r="G31" s="572">
        <v>22</v>
      </c>
      <c r="H31" s="70">
        <v>266.82</v>
      </c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443"/>
      <c r="Z31" s="444"/>
      <c r="AA31" s="566"/>
      <c r="AB31" s="566"/>
      <c r="AC31" s="566">
        <v>28130.87</v>
      </c>
      <c r="AD31" s="566">
        <v>31487.46</v>
      </c>
      <c r="AE31" s="566">
        <v>1886.81</v>
      </c>
      <c r="AF31" s="566"/>
      <c r="AG31" s="566">
        <f t="shared" si="0"/>
        <v>26244.059999999998</v>
      </c>
      <c r="AH31" s="566">
        <f t="shared" si="1"/>
        <v>29375.514852103752</v>
      </c>
      <c r="AI31" s="581">
        <f t="shared" si="11"/>
        <v>26244.059999999998</v>
      </c>
      <c r="AJ31" s="581">
        <f t="shared" si="3"/>
        <v>29375.514852103752</v>
      </c>
      <c r="AK31" s="756">
        <f t="shared" si="4"/>
        <v>26178.605031272353</v>
      </c>
      <c r="AL31" s="567"/>
      <c r="AM31" s="567"/>
      <c r="AN31" s="568">
        <v>174.05</v>
      </c>
      <c r="AO31" s="568"/>
      <c r="AP31" s="568">
        <f t="shared" si="5"/>
        <v>9946.1352364395862</v>
      </c>
      <c r="AQ31" s="567">
        <v>3425.06</v>
      </c>
      <c r="AR31" s="568">
        <f t="shared" si="6"/>
        <v>326.98345294841351</v>
      </c>
      <c r="AS31" s="568">
        <f t="shared" si="7"/>
        <v>27.482818803467712</v>
      </c>
      <c r="AT31" s="567"/>
      <c r="AU31" s="583"/>
      <c r="AV31" s="569">
        <v>884.85</v>
      </c>
      <c r="AW31" s="569">
        <f t="shared" si="8"/>
        <v>10289.195527658721</v>
      </c>
      <c r="AX31" s="569">
        <f t="shared" si="9"/>
        <v>1104.8479954221625</v>
      </c>
      <c r="AY31" s="569"/>
      <c r="AZ31" s="569"/>
      <c r="BA31" s="739">
        <f t="shared" si="10"/>
        <v>65.454968727644882</v>
      </c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</row>
    <row r="32" spans="1:69" s="71" customFormat="1" x14ac:dyDescent="0.25">
      <c r="A32" s="13">
        <v>25</v>
      </c>
      <c r="B32" s="199"/>
      <c r="C32" s="35" t="s">
        <v>34</v>
      </c>
      <c r="D32" s="13">
        <v>1976</v>
      </c>
      <c r="E32" s="572">
        <v>2</v>
      </c>
      <c r="F32" s="572">
        <v>4</v>
      </c>
      <c r="G32" s="572">
        <v>12</v>
      </c>
      <c r="H32" s="70">
        <v>266.56</v>
      </c>
      <c r="I32" s="550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443"/>
      <c r="Z32" s="444"/>
      <c r="AA32" s="566"/>
      <c r="AB32" s="566"/>
      <c r="AC32" s="566">
        <v>28964.5</v>
      </c>
      <c r="AD32" s="566">
        <v>28330</v>
      </c>
      <c r="AE32" s="566">
        <v>1199.55</v>
      </c>
      <c r="AF32" s="566"/>
      <c r="AG32" s="566">
        <f t="shared" si="0"/>
        <v>27764.95</v>
      </c>
      <c r="AH32" s="566">
        <f t="shared" si="1"/>
        <v>27156.727494001276</v>
      </c>
      <c r="AI32" s="581">
        <f t="shared" si="11"/>
        <v>27764.95</v>
      </c>
      <c r="AJ32" s="581">
        <f t="shared" si="3"/>
        <v>27156.727494001276</v>
      </c>
      <c r="AK32" s="756">
        <f t="shared" si="4"/>
        <v>26153.154907937776</v>
      </c>
      <c r="AL32" s="567"/>
      <c r="AM32" s="567"/>
      <c r="AN32" s="568">
        <v>173.88</v>
      </c>
      <c r="AO32" s="568"/>
      <c r="AP32" s="568">
        <f t="shared" si="5"/>
        <v>9936.4433274317362</v>
      </c>
      <c r="AQ32" s="567">
        <v>3421.79</v>
      </c>
      <c r="AR32" s="568">
        <f t="shared" si="6"/>
        <v>326.66482729154154</v>
      </c>
      <c r="AS32" s="568">
        <f t="shared" si="7"/>
        <v>27.456038453835372</v>
      </c>
      <c r="AT32" s="567"/>
      <c r="AU32" s="583"/>
      <c r="AV32" s="569">
        <v>883.98</v>
      </c>
      <c r="AW32" s="569">
        <f t="shared" si="8"/>
        <v>10279.169327084584</v>
      </c>
      <c r="AX32" s="569">
        <f t="shared" si="9"/>
        <v>1103.7713876760799</v>
      </c>
      <c r="AY32" s="569"/>
      <c r="AZ32" s="569"/>
      <c r="BA32" s="739">
        <f t="shared" si="10"/>
        <v>1611.7950920622243</v>
      </c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</row>
    <row r="33" spans="1:69" s="71" customFormat="1" x14ac:dyDescent="0.25">
      <c r="A33" s="13">
        <v>26</v>
      </c>
      <c r="B33" s="199"/>
      <c r="C33" s="35" t="s">
        <v>35</v>
      </c>
      <c r="D33" s="13">
        <v>1958</v>
      </c>
      <c r="E33" s="572">
        <v>1</v>
      </c>
      <c r="F33" s="572">
        <v>2</v>
      </c>
      <c r="G33" s="572">
        <v>2</v>
      </c>
      <c r="H33" s="70">
        <v>68.42</v>
      </c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443"/>
      <c r="Z33" s="444"/>
      <c r="AA33" s="566"/>
      <c r="AB33" s="566"/>
      <c r="AC33" s="566">
        <v>4597.8</v>
      </c>
      <c r="AD33" s="566">
        <v>4597.8</v>
      </c>
      <c r="AE33" s="566"/>
      <c r="AF33" s="566"/>
      <c r="AG33" s="566">
        <f t="shared" si="0"/>
        <v>4597.8</v>
      </c>
      <c r="AH33" s="566">
        <f t="shared" si="1"/>
        <v>4597.8</v>
      </c>
      <c r="AI33" s="581">
        <f t="shared" si="11"/>
        <v>4597.8</v>
      </c>
      <c r="AJ33" s="581">
        <f t="shared" si="3"/>
        <v>4597.8</v>
      </c>
      <c r="AK33" s="756">
        <f t="shared" si="4"/>
        <v>6322.9347636595994</v>
      </c>
      <c r="AL33" s="567"/>
      <c r="AM33" s="567"/>
      <c r="AN33" s="568">
        <v>44.63</v>
      </c>
      <c r="AO33" s="568"/>
      <c r="AP33" s="568">
        <f t="shared" si="5"/>
        <v>2550.4631319885934</v>
      </c>
      <c r="AQ33" s="567">
        <v>488.3</v>
      </c>
      <c r="AR33" s="568">
        <f t="shared" si="6"/>
        <v>83.847567089162936</v>
      </c>
      <c r="AS33" s="568">
        <f t="shared" si="7"/>
        <v>7.0473520070956486</v>
      </c>
      <c r="AT33" s="567"/>
      <c r="AU33" s="583"/>
      <c r="AV33" s="569">
        <v>226.9</v>
      </c>
      <c r="AW33" s="569">
        <f t="shared" si="8"/>
        <v>2638.4332433940849</v>
      </c>
      <c r="AX33" s="569">
        <f t="shared" si="9"/>
        <v>283.31346918066248</v>
      </c>
      <c r="AY33" s="569"/>
      <c r="AZ33" s="569"/>
      <c r="BA33" s="739">
        <f t="shared" si="10"/>
        <v>-1725.1347636595992</v>
      </c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</row>
    <row r="34" spans="1:69" s="71" customFormat="1" x14ac:dyDescent="0.25">
      <c r="A34" s="13">
        <v>27</v>
      </c>
      <c r="B34" s="199"/>
      <c r="C34" s="35" t="s">
        <v>36</v>
      </c>
      <c r="D34" s="13">
        <v>1970</v>
      </c>
      <c r="E34" s="572">
        <v>2</v>
      </c>
      <c r="F34" s="572">
        <v>9</v>
      </c>
      <c r="G34" s="572">
        <v>2</v>
      </c>
      <c r="H34" s="70">
        <v>393.8</v>
      </c>
      <c r="I34" s="550">
        <v>637.91999999999996</v>
      </c>
      <c r="J34" s="550">
        <v>584.91</v>
      </c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  <c r="X34" s="550"/>
      <c r="Y34" s="443"/>
      <c r="Z34" s="444"/>
      <c r="AA34" s="566"/>
      <c r="AB34" s="566"/>
      <c r="AC34" s="566">
        <v>36837.82</v>
      </c>
      <c r="AD34" s="566">
        <v>22957.26</v>
      </c>
      <c r="AE34" s="566">
        <v>10769.5</v>
      </c>
      <c r="AF34" s="566"/>
      <c r="AG34" s="566">
        <f t="shared" si="0"/>
        <v>26068.32</v>
      </c>
      <c r="AH34" s="566">
        <f t="shared" si="1"/>
        <v>16245.727896037277</v>
      </c>
      <c r="AI34" s="581">
        <f t="shared" si="11"/>
        <v>26706.239999999998</v>
      </c>
      <c r="AJ34" s="581">
        <f t="shared" si="3"/>
        <v>16830.637896037279</v>
      </c>
      <c r="AK34" s="756">
        <f t="shared" si="4"/>
        <v>38308.806035211193</v>
      </c>
      <c r="AL34" s="567"/>
      <c r="AM34" s="567"/>
      <c r="AN34" s="568">
        <v>256.88</v>
      </c>
      <c r="AO34" s="568"/>
      <c r="AP34" s="568">
        <f t="shared" si="5"/>
        <v>14679.51448958065</v>
      </c>
      <c r="AQ34" s="567">
        <v>4073.61</v>
      </c>
      <c r="AR34" s="568">
        <f t="shared" si="6"/>
        <v>482.59532183151657</v>
      </c>
      <c r="AS34" s="568">
        <f t="shared" si="7"/>
        <v>40.561929558524795</v>
      </c>
      <c r="AT34" s="567">
        <v>653.22</v>
      </c>
      <c r="AU34" s="583"/>
      <c r="AV34" s="569">
        <v>1305.94</v>
      </c>
      <c r="AW34" s="569">
        <f t="shared" si="8"/>
        <v>15185.837638827692</v>
      </c>
      <c r="AX34" s="569">
        <f t="shared" si="9"/>
        <v>1630.646655412816</v>
      </c>
      <c r="AY34" s="569"/>
      <c r="AZ34" s="569"/>
      <c r="BA34" s="739">
        <f t="shared" si="10"/>
        <v>-11602.566035211195</v>
      </c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</row>
    <row r="35" spans="1:69" s="71" customFormat="1" x14ac:dyDescent="0.25">
      <c r="A35" s="13">
        <v>28</v>
      </c>
      <c r="B35" s="199"/>
      <c r="C35" s="35" t="s">
        <v>37</v>
      </c>
      <c r="D35" s="13">
        <v>1970</v>
      </c>
      <c r="E35" s="572">
        <v>2</v>
      </c>
      <c r="F35" s="572">
        <v>12</v>
      </c>
      <c r="G35" s="572">
        <v>25</v>
      </c>
      <c r="H35" s="70">
        <v>462.1</v>
      </c>
      <c r="I35" s="550">
        <v>709.14</v>
      </c>
      <c r="J35" s="550">
        <v>802.87</v>
      </c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443"/>
      <c r="Z35" s="444"/>
      <c r="AA35" s="566"/>
      <c r="AB35" s="566"/>
      <c r="AC35" s="566">
        <v>44994.61</v>
      </c>
      <c r="AD35" s="566">
        <v>37445.86</v>
      </c>
      <c r="AE35" s="566">
        <v>25415.5</v>
      </c>
      <c r="AF35" s="566"/>
      <c r="AG35" s="566">
        <f t="shared" si="0"/>
        <v>19579.11</v>
      </c>
      <c r="AH35" s="566">
        <f t="shared" si="1"/>
        <v>16294.320852755474</v>
      </c>
      <c r="AI35" s="581">
        <f t="shared" si="11"/>
        <v>20288.25</v>
      </c>
      <c r="AJ35" s="581">
        <f t="shared" si="3"/>
        <v>17097.190852755473</v>
      </c>
      <c r="AK35" s="756">
        <f t="shared" si="4"/>
        <v>46060.203818870228</v>
      </c>
      <c r="AL35" s="567"/>
      <c r="AM35" s="567"/>
      <c r="AN35" s="568">
        <v>301.43</v>
      </c>
      <c r="AO35" s="568"/>
      <c r="AP35" s="568">
        <f t="shared" si="5"/>
        <v>17225.504432796391</v>
      </c>
      <c r="AQ35" s="567">
        <v>5931.84</v>
      </c>
      <c r="AR35" s="568">
        <f t="shared" si="6"/>
        <v>566.29583092520011</v>
      </c>
      <c r="AS35" s="568">
        <f t="shared" si="7"/>
        <v>47.596921404251674</v>
      </c>
      <c r="AT35" s="567">
        <v>721.98</v>
      </c>
      <c r="AU35" s="583"/>
      <c r="AV35" s="569">
        <v>1532.45</v>
      </c>
      <c r="AW35" s="569">
        <f t="shared" si="8"/>
        <v>17819.643405033712</v>
      </c>
      <c r="AX35" s="569">
        <f t="shared" si="9"/>
        <v>1913.4632287106713</v>
      </c>
      <c r="AY35" s="569"/>
      <c r="AZ35" s="569"/>
      <c r="BA35" s="739">
        <f t="shared" si="10"/>
        <v>-25771.953818870228</v>
      </c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</row>
    <row r="36" spans="1:69" s="71" customFormat="1" x14ac:dyDescent="0.25">
      <c r="A36" s="13">
        <v>29</v>
      </c>
      <c r="B36" s="199"/>
      <c r="C36" s="35" t="s">
        <v>38</v>
      </c>
      <c r="D36" s="13">
        <v>1951</v>
      </c>
      <c r="E36" s="572">
        <v>1</v>
      </c>
      <c r="F36" s="572">
        <v>2</v>
      </c>
      <c r="G36" s="572">
        <v>5</v>
      </c>
      <c r="H36" s="70">
        <v>46.6</v>
      </c>
      <c r="I36" s="550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  <c r="W36" s="550"/>
      <c r="X36" s="550"/>
      <c r="Y36" s="443"/>
      <c r="Z36" s="444"/>
      <c r="AA36" s="566"/>
      <c r="AB36" s="566"/>
      <c r="AC36" s="566">
        <v>3730.34</v>
      </c>
      <c r="AD36" s="566"/>
      <c r="AE36" s="566"/>
      <c r="AF36" s="566"/>
      <c r="AG36" s="566">
        <f t="shared" si="0"/>
        <v>3730.34</v>
      </c>
      <c r="AH36" s="566">
        <f t="shared" si="1"/>
        <v>0</v>
      </c>
      <c r="AI36" s="581">
        <f t="shared" si="11"/>
        <v>3730.34</v>
      </c>
      <c r="AJ36" s="581">
        <f t="shared" si="3"/>
        <v>0</v>
      </c>
      <c r="AK36" s="756">
        <f t="shared" si="4"/>
        <v>4572.060566888882</v>
      </c>
      <c r="AL36" s="567"/>
      <c r="AM36" s="567"/>
      <c r="AN36" s="568">
        <v>30.4</v>
      </c>
      <c r="AO36" s="568"/>
      <c r="AP36" s="568">
        <f t="shared" si="5"/>
        <v>1737.0883067914126</v>
      </c>
      <c r="AQ36" s="567">
        <v>598.15</v>
      </c>
      <c r="AR36" s="568">
        <f t="shared" si="6"/>
        <v>57.107521577828017</v>
      </c>
      <c r="AS36" s="568">
        <f t="shared" si="7"/>
        <v>4.7998626648736806</v>
      </c>
      <c r="AT36" s="567"/>
      <c r="AU36" s="583"/>
      <c r="AV36" s="569">
        <v>154.55000000000001</v>
      </c>
      <c r="AW36" s="569">
        <f t="shared" si="8"/>
        <v>1797.0036413645771</v>
      </c>
      <c r="AX36" s="569">
        <f t="shared" si="9"/>
        <v>192.96123449019103</v>
      </c>
      <c r="AY36" s="569"/>
      <c r="AZ36" s="569"/>
      <c r="BA36" s="739">
        <f t="shared" si="10"/>
        <v>-841.72056688888188</v>
      </c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</row>
    <row r="37" spans="1:69" s="71" customFormat="1" x14ac:dyDescent="0.25">
      <c r="A37" s="13">
        <v>30</v>
      </c>
      <c r="B37" s="199"/>
      <c r="C37" s="35" t="s">
        <v>161</v>
      </c>
      <c r="D37" s="13">
        <v>1955</v>
      </c>
      <c r="E37" s="572">
        <v>1</v>
      </c>
      <c r="F37" s="572">
        <v>2</v>
      </c>
      <c r="G37" s="572">
        <v>3</v>
      </c>
      <c r="H37" s="70">
        <v>76</v>
      </c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443"/>
      <c r="Z37" s="444"/>
      <c r="AA37" s="566"/>
      <c r="AB37" s="566"/>
      <c r="AC37" s="566">
        <v>5654.4</v>
      </c>
      <c r="AD37" s="566">
        <v>9768.91</v>
      </c>
      <c r="AE37" s="566"/>
      <c r="AF37" s="566"/>
      <c r="AG37" s="566">
        <f t="shared" si="0"/>
        <v>5654.4</v>
      </c>
      <c r="AH37" s="566">
        <f t="shared" si="1"/>
        <v>9768.91</v>
      </c>
      <c r="AI37" s="581">
        <f t="shared" si="11"/>
        <v>5654.4</v>
      </c>
      <c r="AJ37" s="581">
        <f t="shared" si="3"/>
        <v>9768.91</v>
      </c>
      <c r="AK37" s="756">
        <f t="shared" si="4"/>
        <v>7456.6306670290787</v>
      </c>
      <c r="AL37" s="567"/>
      <c r="AM37" s="567"/>
      <c r="AN37" s="568">
        <v>49.58</v>
      </c>
      <c r="AO37" s="568"/>
      <c r="AP37" s="568">
        <f t="shared" si="5"/>
        <v>2833.0195561405012</v>
      </c>
      <c r="AQ37" s="567">
        <v>975.6</v>
      </c>
      <c r="AR37" s="568">
        <f t="shared" si="6"/>
        <v>93.136730470277442</v>
      </c>
      <c r="AS37" s="568">
        <f t="shared" si="7"/>
        <v>7.8281022002231699</v>
      </c>
      <c r="AT37" s="567"/>
      <c r="AU37" s="583"/>
      <c r="AV37" s="569">
        <v>252.03</v>
      </c>
      <c r="AW37" s="569">
        <f t="shared" si="8"/>
        <v>2930.7355524400828</v>
      </c>
      <c r="AX37" s="569">
        <f t="shared" si="9"/>
        <v>314.70072577799397</v>
      </c>
      <c r="AY37" s="569"/>
      <c r="AZ37" s="569"/>
      <c r="BA37" s="739">
        <f t="shared" si="10"/>
        <v>-1802.2306670290791</v>
      </c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</row>
    <row r="38" spans="1:69" s="71" customFormat="1" x14ac:dyDescent="0.25">
      <c r="A38" s="13">
        <v>31</v>
      </c>
      <c r="B38" s="199"/>
      <c r="C38" s="35" t="s">
        <v>162</v>
      </c>
      <c r="D38" s="13">
        <v>1955</v>
      </c>
      <c r="E38" s="572">
        <v>1</v>
      </c>
      <c r="F38" s="572">
        <v>2</v>
      </c>
      <c r="G38" s="572">
        <v>2</v>
      </c>
      <c r="H38" s="70">
        <v>86.1</v>
      </c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443"/>
      <c r="Z38" s="444"/>
      <c r="AA38" s="566"/>
      <c r="AB38" s="566"/>
      <c r="AC38" s="566">
        <v>5486.28</v>
      </c>
      <c r="AD38" s="566">
        <v>5566.25</v>
      </c>
      <c r="AE38" s="566"/>
      <c r="AF38" s="566"/>
      <c r="AG38" s="566">
        <f t="shared" si="0"/>
        <v>5486.28</v>
      </c>
      <c r="AH38" s="566">
        <f t="shared" si="1"/>
        <v>5566.25</v>
      </c>
      <c r="AI38" s="581">
        <f t="shared" si="11"/>
        <v>5486.28</v>
      </c>
      <c r="AJ38" s="581">
        <f t="shared" si="3"/>
        <v>5566.25</v>
      </c>
      <c r="AK38" s="756">
        <f t="shared" si="4"/>
        <v>7956.8231504105734</v>
      </c>
      <c r="AL38" s="567"/>
      <c r="AM38" s="567"/>
      <c r="AN38" s="568">
        <v>56.16</v>
      </c>
      <c r="AO38" s="568"/>
      <c r="AP38" s="568">
        <f t="shared" si="5"/>
        <v>3209.5129445223306</v>
      </c>
      <c r="AQ38" s="567">
        <v>614.51</v>
      </c>
      <c r="AR38" s="568">
        <f t="shared" si="6"/>
        <v>105.51411175645904</v>
      </c>
      <c r="AS38" s="568">
        <f t="shared" si="7"/>
        <v>8.8684157820949334</v>
      </c>
      <c r="AT38" s="567"/>
      <c r="AU38" s="583"/>
      <c r="AV38" s="569">
        <v>285.52</v>
      </c>
      <c r="AW38" s="569">
        <f t="shared" si="8"/>
        <v>3320.214882435409</v>
      </c>
      <c r="AX38" s="569">
        <f t="shared" si="9"/>
        <v>356.52279591427998</v>
      </c>
      <c r="AY38" s="569"/>
      <c r="AZ38" s="569"/>
      <c r="BA38" s="739">
        <f t="shared" si="10"/>
        <v>-2470.5431504105736</v>
      </c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</row>
    <row r="39" spans="1:69" s="71" customFormat="1" x14ac:dyDescent="0.25">
      <c r="A39" s="13">
        <v>32</v>
      </c>
      <c r="B39" s="199"/>
      <c r="C39" s="35" t="s">
        <v>39</v>
      </c>
      <c r="D39" s="13">
        <v>1970</v>
      </c>
      <c r="E39" s="572">
        <v>2</v>
      </c>
      <c r="F39" s="572">
        <v>12</v>
      </c>
      <c r="G39" s="572">
        <v>30</v>
      </c>
      <c r="H39" s="70">
        <v>462.9</v>
      </c>
      <c r="I39" s="550">
        <v>704.94</v>
      </c>
      <c r="J39" s="550">
        <v>628.64</v>
      </c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  <c r="W39" s="550"/>
      <c r="X39" s="550"/>
      <c r="Y39" s="443"/>
      <c r="Z39" s="444"/>
      <c r="AA39" s="566"/>
      <c r="AB39" s="566"/>
      <c r="AC39" s="566">
        <v>39018.54</v>
      </c>
      <c r="AD39" s="566">
        <v>32539.38</v>
      </c>
      <c r="AE39" s="566">
        <v>24343</v>
      </c>
      <c r="AF39" s="566"/>
      <c r="AG39" s="566">
        <f>AC39-AE39</f>
        <v>14675.54</v>
      </c>
      <c r="AH39" s="566">
        <f t="shared" si="1"/>
        <v>12238.61714880157</v>
      </c>
      <c r="AI39" s="581">
        <f t="shared" si="11"/>
        <v>15380.480000000001</v>
      </c>
      <c r="AJ39" s="581">
        <f t="shared" si="3"/>
        <v>12867.257148801569</v>
      </c>
      <c r="AK39" s="756">
        <f t="shared" si="4"/>
        <v>43318.37035220737</v>
      </c>
      <c r="AL39" s="567"/>
      <c r="AM39" s="567"/>
      <c r="AN39" s="568">
        <v>301.95</v>
      </c>
      <c r="AO39" s="568"/>
      <c r="AP39" s="568">
        <f t="shared" si="5"/>
        <v>17255.32569128208</v>
      </c>
      <c r="AQ39" s="567">
        <v>3121.79</v>
      </c>
      <c r="AR39" s="568">
        <f t="shared" si="6"/>
        <v>567.27621756172937</v>
      </c>
      <c r="AS39" s="568">
        <f t="shared" si="7"/>
        <v>47.679322480043488</v>
      </c>
      <c r="AT39" s="567">
        <v>721.98</v>
      </c>
      <c r="AU39" s="583"/>
      <c r="AV39" s="569">
        <v>1535.1</v>
      </c>
      <c r="AW39" s="569">
        <f t="shared" si="8"/>
        <v>17850.493252954133</v>
      </c>
      <c r="AX39" s="569">
        <f t="shared" si="9"/>
        <v>1916.7758679293868</v>
      </c>
      <c r="AY39" s="569"/>
      <c r="AZ39" s="569"/>
      <c r="BA39" s="739">
        <f t="shared" si="10"/>
        <v>-27937.890352207367</v>
      </c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</row>
    <row r="40" spans="1:69" s="71" customFormat="1" x14ac:dyDescent="0.25">
      <c r="A40" s="98">
        <v>33</v>
      </c>
      <c r="B40" s="202"/>
      <c r="C40" s="103" t="s">
        <v>40</v>
      </c>
      <c r="D40" s="98">
        <v>1971</v>
      </c>
      <c r="E40" s="573">
        <v>2</v>
      </c>
      <c r="F40" s="573">
        <v>11</v>
      </c>
      <c r="G40" s="573">
        <v>34</v>
      </c>
      <c r="H40" s="109">
        <v>464.6</v>
      </c>
      <c r="I40" s="584">
        <v>704.94</v>
      </c>
      <c r="J40" s="584">
        <v>555.6</v>
      </c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4"/>
      <c r="V40" s="584"/>
      <c r="W40" s="584"/>
      <c r="X40" s="584"/>
      <c r="Y40" s="445"/>
      <c r="Z40" s="446"/>
      <c r="AA40" s="566"/>
      <c r="AB40" s="566"/>
      <c r="AC40" s="566">
        <v>43101.22</v>
      </c>
      <c r="AD40" s="566">
        <v>33456.42</v>
      </c>
      <c r="AE40" s="566">
        <v>26799.5</v>
      </c>
      <c r="AF40" s="566"/>
      <c r="AG40" s="566">
        <f t="shared" si="0"/>
        <v>16301.720000000001</v>
      </c>
      <c r="AH40" s="566">
        <f t="shared" si="1"/>
        <v>12653.868986594811</v>
      </c>
      <c r="AI40" s="581">
        <f t="shared" si="11"/>
        <v>17006.66</v>
      </c>
      <c r="AJ40" s="581">
        <f t="shared" si="3"/>
        <v>13209.468986594811</v>
      </c>
      <c r="AK40" s="756">
        <f t="shared" si="4"/>
        <v>43951.194235548814</v>
      </c>
      <c r="AL40" s="570"/>
      <c r="AM40" s="567"/>
      <c r="AN40" s="568">
        <v>330.59</v>
      </c>
      <c r="AO40" s="568"/>
      <c r="AP40" s="568">
        <f t="shared" si="5"/>
        <v>17318.695865564168</v>
      </c>
      <c r="AQ40" s="567">
        <v>3441.97</v>
      </c>
      <c r="AR40" s="568">
        <f t="shared" si="6"/>
        <v>569.35953916435403</v>
      </c>
      <c r="AS40" s="568">
        <f t="shared" si="7"/>
        <v>47.854424766101118</v>
      </c>
      <c r="AT40" s="567">
        <v>721.98</v>
      </c>
      <c r="AU40" s="583"/>
      <c r="AV40" s="569">
        <v>1680.88</v>
      </c>
      <c r="AW40" s="569">
        <f t="shared" si="8"/>
        <v>17916.049179785034</v>
      </c>
      <c r="AX40" s="569">
        <f t="shared" si="9"/>
        <v>1923.8152262691578</v>
      </c>
      <c r="AY40" s="569"/>
      <c r="AZ40" s="569"/>
      <c r="BA40" s="739">
        <f t="shared" si="10"/>
        <v>-26944.534235548814</v>
      </c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</row>
    <row r="41" spans="1:69" s="71" customFormat="1" x14ac:dyDescent="0.25">
      <c r="A41" s="7"/>
      <c r="B41" s="204"/>
      <c r="C41" s="430" t="s">
        <v>41</v>
      </c>
      <c r="D41" s="7"/>
      <c r="E41" s="7"/>
      <c r="F41" s="547">
        <f>SUM(F9:F40)</f>
        <v>543</v>
      </c>
      <c r="G41" s="547">
        <f>SUM(G9:G40)</f>
        <v>1407</v>
      </c>
      <c r="H41" s="523">
        <f>SUM(H8:H40)</f>
        <v>26213.249999999989</v>
      </c>
      <c r="I41" s="461">
        <f t="shared" ref="I41:AJ41" si="13">SUM(I8:I40)</f>
        <v>2756.94</v>
      </c>
      <c r="J41" s="461">
        <f t="shared" si="13"/>
        <v>2963.8199999999997</v>
      </c>
      <c r="K41" s="461">
        <f t="shared" si="13"/>
        <v>43973.090000000011</v>
      </c>
      <c r="L41" s="461">
        <f t="shared" si="13"/>
        <v>42083.67</v>
      </c>
      <c r="M41" s="461">
        <f t="shared" si="13"/>
        <v>13744.27</v>
      </c>
      <c r="N41" s="461">
        <f t="shared" si="13"/>
        <v>15015.45</v>
      </c>
      <c r="O41" s="461">
        <f t="shared" ref="O41:V41" si="14">SUM(O15:O40)</f>
        <v>14277.95</v>
      </c>
      <c r="P41" s="461">
        <f t="shared" si="14"/>
        <v>17551.010000000002</v>
      </c>
      <c r="Q41" s="461">
        <f t="shared" si="14"/>
        <v>1462.2</v>
      </c>
      <c r="R41" s="461">
        <f t="shared" si="14"/>
        <v>1173.1200000000001</v>
      </c>
      <c r="S41" s="461">
        <f t="shared" si="14"/>
        <v>14294.189999999999</v>
      </c>
      <c r="T41" s="461">
        <f t="shared" si="14"/>
        <v>11366.95</v>
      </c>
      <c r="U41" s="461">
        <f t="shared" si="14"/>
        <v>1087.1300000000001</v>
      </c>
      <c r="V41" s="461">
        <f t="shared" si="14"/>
        <v>848.46999999999991</v>
      </c>
      <c r="W41" s="461">
        <f t="shared" si="13"/>
        <v>113391.2</v>
      </c>
      <c r="X41" s="461">
        <f t="shared" si="13"/>
        <v>131621.18999999997</v>
      </c>
      <c r="Y41" s="459">
        <f t="shared" si="13"/>
        <v>0</v>
      </c>
      <c r="Z41" s="459">
        <f t="shared" si="13"/>
        <v>0</v>
      </c>
      <c r="AA41" s="459">
        <f t="shared" si="13"/>
        <v>121380</v>
      </c>
      <c r="AB41" s="459">
        <f t="shared" si="13"/>
        <v>121808.78</v>
      </c>
      <c r="AC41" s="461">
        <f t="shared" si="13"/>
        <v>4199445.459999999</v>
      </c>
      <c r="AD41" s="461">
        <f t="shared" si="13"/>
        <v>4028638.6999999997</v>
      </c>
      <c r="AE41" s="461">
        <f t="shared" si="13"/>
        <v>427054.98000000004</v>
      </c>
      <c r="AF41" s="461"/>
      <c r="AG41" s="461">
        <f>SUM(AG9:AG40)</f>
        <v>3772390.4800000004</v>
      </c>
      <c r="AH41" s="461">
        <f t="shared" si="13"/>
        <v>3634827.7105179708</v>
      </c>
      <c r="AI41" s="582">
        <f t="shared" si="13"/>
        <v>4098757.45</v>
      </c>
      <c r="AJ41" s="582">
        <f t="shared" si="13"/>
        <v>3979260.1705179699</v>
      </c>
      <c r="AK41" s="757">
        <f>SUM(AK9:AK40)</f>
        <v>3672436.2400000007</v>
      </c>
      <c r="AL41" s="523">
        <f>SUM(AL9:AL40)</f>
        <v>107100</v>
      </c>
      <c r="AM41" s="523">
        <f t="shared" ref="AM41:BA41" si="15">SUM(AM9:AM40)</f>
        <v>121380</v>
      </c>
      <c r="AN41" s="523">
        <f t="shared" si="15"/>
        <v>17156.5</v>
      </c>
      <c r="AO41" s="523">
        <f t="shared" si="15"/>
        <v>30808.799999999999</v>
      </c>
      <c r="AP41" s="523">
        <f t="shared" si="15"/>
        <v>977140.12999999966</v>
      </c>
      <c r="AQ41" s="523">
        <f t="shared" si="15"/>
        <v>476289.93999999994</v>
      </c>
      <c r="AR41" s="523">
        <f t="shared" si="15"/>
        <v>32123.9</v>
      </c>
      <c r="AS41" s="523">
        <f t="shared" si="15"/>
        <v>2699.9999999999995</v>
      </c>
      <c r="AT41" s="523">
        <f t="shared" si="15"/>
        <v>62093.140000000021</v>
      </c>
      <c r="AU41" s="523">
        <f t="shared" si="15"/>
        <v>33635</v>
      </c>
      <c r="AV41" s="523">
        <f t="shared" si="15"/>
        <v>107842.51000000001</v>
      </c>
      <c r="AW41" s="523">
        <f t="shared" si="15"/>
        <v>1010843.4700000003</v>
      </c>
      <c r="AX41" s="523">
        <f t="shared" si="15"/>
        <v>108543.80000000003</v>
      </c>
      <c r="AY41" s="523">
        <f t="shared" si="15"/>
        <v>12600</v>
      </c>
      <c r="AZ41" s="523">
        <f t="shared" si="15"/>
        <v>572179.05000000005</v>
      </c>
      <c r="BA41" s="523">
        <f t="shared" si="15"/>
        <v>426321.20999999996</v>
      </c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</row>
    <row r="42" spans="1:69" x14ac:dyDescent="0.25">
      <c r="AE42" t="s">
        <v>128</v>
      </c>
      <c r="AJ42" s="385"/>
      <c r="AR42" s="386"/>
      <c r="AS42" s="386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</row>
    <row r="43" spans="1:69" x14ac:dyDescent="0.25">
      <c r="A43" s="9"/>
      <c r="B43" s="9"/>
      <c r="C43" s="131" t="s">
        <v>195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0"/>
      <c r="AB43" s="9"/>
      <c r="AC43" s="9"/>
      <c r="AD43" s="9"/>
      <c r="AE43" s="9"/>
      <c r="AF43" s="9"/>
      <c r="AG43" s="9"/>
      <c r="AH43" s="9"/>
      <c r="AI43" s="9"/>
      <c r="AJ43" s="457"/>
      <c r="AK43" s="9"/>
      <c r="AL43" s="9"/>
      <c r="AM43" s="9"/>
      <c r="AN43" s="9"/>
      <c r="AO43" s="9"/>
      <c r="AP43" s="9"/>
      <c r="AQ43" s="9"/>
      <c r="AR43" s="465"/>
      <c r="AS43" s="465"/>
      <c r="AT43" s="9"/>
      <c r="AU43" s="9"/>
      <c r="AV43" s="9"/>
      <c r="AW43" s="9"/>
      <c r="AX43" s="9"/>
      <c r="AY43" s="9"/>
      <c r="AZ43" s="9"/>
      <c r="BA43" s="9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</row>
    <row r="44" spans="1:69" ht="15.75" x14ac:dyDescent="0.25">
      <c r="A44" s="55"/>
      <c r="B44" s="55"/>
      <c r="C44" s="586" t="s">
        <v>273</v>
      </c>
      <c r="D44" s="56"/>
      <c r="E44" s="56"/>
      <c r="F44" s="56"/>
      <c r="G44" s="56"/>
      <c r="H44" s="585">
        <f>H15+H21+H22+H23+H24+H25+H26</f>
        <v>16716.88</v>
      </c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456"/>
      <c r="AF44" s="456"/>
      <c r="AG44" s="456"/>
      <c r="AH44" s="456"/>
      <c r="AI44" s="9"/>
      <c r="AJ44" s="9"/>
      <c r="AK44" s="9"/>
      <c r="AL44" s="9"/>
      <c r="AM44" s="9"/>
      <c r="AN44" s="9"/>
      <c r="AO44" s="458"/>
      <c r="AP44" s="458"/>
      <c r="AQ44" s="9"/>
      <c r="AR44" s="458"/>
      <c r="AS44" s="458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54"/>
    </row>
    <row r="45" spans="1:69" ht="18" x14ac:dyDescent="0.25">
      <c r="A45" s="55"/>
      <c r="B45" s="55"/>
      <c r="C45" s="586" t="s">
        <v>274</v>
      </c>
      <c r="D45" s="57"/>
      <c r="E45" s="57"/>
      <c r="F45" s="57"/>
      <c r="G45" s="57"/>
      <c r="H45" s="585">
        <f>H15+H22+H23+H24+H25</f>
        <v>13804.88</v>
      </c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86" t="s">
        <v>304</v>
      </c>
      <c r="AF45" s="57"/>
      <c r="AG45" s="57"/>
      <c r="AH45" s="57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54"/>
    </row>
    <row r="46" spans="1:69" x14ac:dyDescent="0.25">
      <c r="A46" s="954"/>
      <c r="B46" s="442"/>
      <c r="C46" s="551"/>
      <c r="D46" s="551"/>
      <c r="E46" s="551"/>
      <c r="F46" s="551"/>
      <c r="G46" s="551"/>
      <c r="H46" s="551"/>
      <c r="I46" s="551"/>
      <c r="J46" s="442"/>
      <c r="K46" s="442"/>
      <c r="L46" s="442"/>
      <c r="M46" s="442"/>
      <c r="N46" s="442"/>
      <c r="O46" s="565"/>
      <c r="P46" s="565"/>
      <c r="Q46" s="565"/>
      <c r="R46" s="565"/>
      <c r="S46" s="565"/>
      <c r="T46" s="565"/>
      <c r="U46" s="565"/>
      <c r="V46" s="565"/>
      <c r="W46" s="442"/>
      <c r="X46" s="442"/>
      <c r="Y46" s="442"/>
      <c r="Z46" s="442"/>
      <c r="AA46" s="442"/>
      <c r="AB46" s="442"/>
      <c r="AC46" s="453"/>
      <c r="AD46" s="453"/>
      <c r="AE46" s="442"/>
      <c r="AF46" s="530"/>
      <c r="AG46" s="530"/>
      <c r="AH46" s="442"/>
      <c r="AI46" s="954"/>
      <c r="AJ46" s="955"/>
      <c r="AK46" s="955"/>
      <c r="AL46" s="955"/>
      <c r="AM46" s="955"/>
      <c r="AN46" s="595"/>
      <c r="AO46" s="591"/>
      <c r="AP46" s="591"/>
      <c r="AQ46" s="595"/>
      <c r="AR46" s="595"/>
      <c r="AS46" s="591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996"/>
    </row>
    <row r="47" spans="1:69" x14ac:dyDescent="0.25">
      <c r="A47" s="954"/>
      <c r="B47" s="442"/>
      <c r="C47" s="551"/>
      <c r="D47" s="551"/>
      <c r="E47" s="551"/>
      <c r="F47" s="551"/>
      <c r="G47" s="551"/>
      <c r="H47" s="551"/>
      <c r="I47" s="551"/>
      <c r="J47" s="442"/>
      <c r="K47" s="442"/>
      <c r="L47" s="442"/>
      <c r="M47" s="442"/>
      <c r="N47" s="442"/>
      <c r="O47" s="565"/>
      <c r="P47" s="565"/>
      <c r="Q47" s="565"/>
      <c r="R47" s="565"/>
      <c r="S47" s="565"/>
      <c r="T47" s="565"/>
      <c r="U47" s="565"/>
      <c r="V47" s="565"/>
      <c r="W47" s="442"/>
      <c r="X47" s="442"/>
      <c r="Y47" s="442"/>
      <c r="Z47" s="442"/>
      <c r="AA47" s="442"/>
      <c r="AB47" s="442"/>
      <c r="AC47" s="453"/>
      <c r="AD47" s="453"/>
      <c r="AE47" s="442"/>
      <c r="AF47" s="530"/>
      <c r="AG47" s="530"/>
      <c r="AH47" s="442"/>
      <c r="AI47" s="954"/>
      <c r="AJ47" s="955"/>
      <c r="AK47" s="955"/>
      <c r="AL47" s="955"/>
      <c r="AM47" s="955"/>
      <c r="AN47" s="596"/>
      <c r="AO47" s="591"/>
      <c r="AP47" s="591"/>
      <c r="AQ47" s="596"/>
      <c r="AR47" s="596"/>
      <c r="AS47" s="591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996"/>
    </row>
    <row r="48" spans="1:69" s="71" customFormat="1" ht="39.75" customHeight="1" x14ac:dyDescent="0.25">
      <c r="A48" s="915" t="s">
        <v>0</v>
      </c>
      <c r="B48" s="132"/>
      <c r="C48" s="915" t="s">
        <v>130</v>
      </c>
      <c r="D48" s="915" t="s">
        <v>43</v>
      </c>
      <c r="E48" s="915" t="s">
        <v>44</v>
      </c>
      <c r="F48" s="915" t="s">
        <v>45</v>
      </c>
      <c r="G48" s="915" t="s">
        <v>46</v>
      </c>
      <c r="H48" s="915" t="s">
        <v>1</v>
      </c>
      <c r="I48" s="997"/>
      <c r="J48" s="998"/>
      <c r="K48" s="997"/>
      <c r="L48" s="998"/>
      <c r="M48" s="969"/>
      <c r="N48" s="970"/>
      <c r="O48" s="580"/>
      <c r="P48" s="580"/>
      <c r="Q48" s="580"/>
      <c r="R48" s="580"/>
      <c r="S48" s="580"/>
      <c r="T48" s="580"/>
      <c r="U48" s="580"/>
      <c r="V48" s="580"/>
      <c r="W48" s="969"/>
      <c r="X48" s="970"/>
      <c r="Y48" s="969"/>
      <c r="Z48" s="970"/>
      <c r="AA48" s="969"/>
      <c r="AB48" s="970"/>
      <c r="AC48" s="883" t="s">
        <v>269</v>
      </c>
      <c r="AD48" s="884"/>
      <c r="AE48" s="885" t="s">
        <v>270</v>
      </c>
      <c r="AF48" s="885"/>
      <c r="AG48" s="883" t="s">
        <v>271</v>
      </c>
      <c r="AH48" s="884"/>
      <c r="AI48" s="886" t="s">
        <v>263</v>
      </c>
      <c r="AJ48" s="887"/>
      <c r="AK48" s="994" t="s">
        <v>204</v>
      </c>
      <c r="AL48" s="992" t="s">
        <v>188</v>
      </c>
      <c r="AM48" s="992" t="s">
        <v>200</v>
      </c>
      <c r="AN48" s="992" t="s">
        <v>276</v>
      </c>
      <c r="AO48" s="990" t="s">
        <v>277</v>
      </c>
      <c r="AP48" s="990" t="s">
        <v>201</v>
      </c>
      <c r="AQ48" s="990" t="s">
        <v>278</v>
      </c>
      <c r="AR48" s="990" t="s">
        <v>279</v>
      </c>
      <c r="AS48" s="990" t="s">
        <v>280</v>
      </c>
      <c r="AT48" s="990" t="s">
        <v>281</v>
      </c>
      <c r="AU48" s="990" t="s">
        <v>282</v>
      </c>
      <c r="AV48" s="990" t="s">
        <v>283</v>
      </c>
      <c r="AW48" s="990" t="s">
        <v>284</v>
      </c>
      <c r="AX48" s="990" t="s">
        <v>285</v>
      </c>
      <c r="AY48" s="990" t="s">
        <v>286</v>
      </c>
      <c r="AZ48" s="990" t="s">
        <v>287</v>
      </c>
      <c r="BA48" s="990" t="s">
        <v>288</v>
      </c>
      <c r="BB48" s="990" t="s">
        <v>289</v>
      </c>
      <c r="BC48" s="990" t="s">
        <v>290</v>
      </c>
      <c r="BD48" s="990" t="s">
        <v>292</v>
      </c>
      <c r="BE48" s="990" t="s">
        <v>291</v>
      </c>
      <c r="BF48" s="990" t="s">
        <v>354</v>
      </c>
      <c r="BG48" s="990" t="s">
        <v>367</v>
      </c>
      <c r="BH48" s="132"/>
      <c r="BI48" s="132"/>
      <c r="BJ48" s="132"/>
      <c r="BK48" s="132"/>
      <c r="BL48" s="107"/>
      <c r="BM48" s="107"/>
      <c r="BN48" s="107"/>
      <c r="BO48" s="28"/>
    </row>
    <row r="49" spans="1:67" s="71" customFormat="1" ht="47.25" customHeight="1" x14ac:dyDescent="0.25">
      <c r="A49" s="915"/>
      <c r="B49" s="132"/>
      <c r="C49" s="915"/>
      <c r="D49" s="915"/>
      <c r="E49" s="915"/>
      <c r="F49" s="915"/>
      <c r="G49" s="915"/>
      <c r="H49" s="915"/>
      <c r="I49" s="553"/>
      <c r="J49" s="554"/>
      <c r="K49" s="553"/>
      <c r="L49" s="554"/>
      <c r="M49" s="553"/>
      <c r="N49" s="554"/>
      <c r="O49" s="553"/>
      <c r="P49" s="553"/>
      <c r="Q49" s="553"/>
      <c r="R49" s="553"/>
      <c r="S49" s="553"/>
      <c r="T49" s="553"/>
      <c r="U49" s="553"/>
      <c r="V49" s="553"/>
      <c r="W49" s="553"/>
      <c r="X49" s="554"/>
      <c r="Y49" s="553"/>
      <c r="Z49" s="554"/>
      <c r="AA49" s="553"/>
      <c r="AB49" s="554"/>
      <c r="AC49" s="303" t="s">
        <v>4</v>
      </c>
      <c r="AD49" s="304" t="s">
        <v>5</v>
      </c>
      <c r="AE49" s="303" t="s">
        <v>4</v>
      </c>
      <c r="AF49" s="304" t="s">
        <v>5</v>
      </c>
      <c r="AG49" s="303" t="s">
        <v>4</v>
      </c>
      <c r="AH49" s="304" t="s">
        <v>5</v>
      </c>
      <c r="AI49" s="538" t="s">
        <v>4</v>
      </c>
      <c r="AJ49" s="539" t="s">
        <v>5</v>
      </c>
      <c r="AK49" s="995"/>
      <c r="AL49" s="993"/>
      <c r="AM49" s="993"/>
      <c r="AN49" s="993"/>
      <c r="AO49" s="991"/>
      <c r="AP49" s="991"/>
      <c r="AQ49" s="991"/>
      <c r="AR49" s="991"/>
      <c r="AS49" s="991"/>
      <c r="AT49" s="991"/>
      <c r="AU49" s="991"/>
      <c r="AV49" s="991"/>
      <c r="AW49" s="991"/>
      <c r="AX49" s="991"/>
      <c r="AY49" s="991"/>
      <c r="AZ49" s="991"/>
      <c r="BA49" s="991"/>
      <c r="BB49" s="991"/>
      <c r="BC49" s="991"/>
      <c r="BD49" s="991"/>
      <c r="BE49" s="991"/>
      <c r="BF49" s="991"/>
      <c r="BG49" s="991"/>
      <c r="BH49" s="132"/>
      <c r="BI49" s="132"/>
      <c r="BJ49" s="132"/>
      <c r="BK49" s="132"/>
      <c r="BL49" s="107"/>
      <c r="BM49" s="107"/>
      <c r="BN49" s="107"/>
      <c r="BO49" s="28"/>
    </row>
    <row r="50" spans="1:67" s="71" customFormat="1" ht="14.25" customHeight="1" x14ac:dyDescent="0.25">
      <c r="A50" s="605">
        <v>1</v>
      </c>
      <c r="B50" s="552"/>
      <c r="C50" s="69" t="s">
        <v>194</v>
      </c>
      <c r="D50" s="68">
        <v>1962</v>
      </c>
      <c r="E50" s="134">
        <v>1</v>
      </c>
      <c r="F50" s="571">
        <v>6</v>
      </c>
      <c r="G50" s="571">
        <v>11</v>
      </c>
      <c r="H50" s="576">
        <v>288.2</v>
      </c>
      <c r="I50" s="475"/>
      <c r="J50" s="475"/>
      <c r="K50" s="475"/>
      <c r="L50" s="475"/>
      <c r="M50" s="475"/>
      <c r="N50" s="475"/>
      <c r="O50" s="475"/>
      <c r="P50" s="475"/>
      <c r="Q50" s="475"/>
      <c r="R50" s="475"/>
      <c r="S50" s="475"/>
      <c r="T50" s="475"/>
      <c r="U50" s="475"/>
      <c r="V50" s="475"/>
      <c r="W50" s="475"/>
      <c r="X50" s="475"/>
      <c r="Y50" s="555"/>
      <c r="Z50" s="556"/>
      <c r="AA50" s="557"/>
      <c r="AB50" s="557"/>
      <c r="AC50" s="566">
        <v>6340.4</v>
      </c>
      <c r="AD50" s="566">
        <v>7007.52</v>
      </c>
      <c r="AE50" s="566">
        <f>AC50/7*12</f>
        <v>10869.257142857143</v>
      </c>
      <c r="AF50" s="566"/>
      <c r="AG50" s="566">
        <f>AE50-AC50</f>
        <v>4528.8571428571431</v>
      </c>
      <c r="AH50" s="566">
        <f>AD9-AH9</f>
        <v>4863.4190633182625</v>
      </c>
      <c r="AI50" s="581">
        <f>AE50</f>
        <v>10869.257142857143</v>
      </c>
      <c r="AJ50" s="581">
        <f>AH50+AD50</f>
        <v>11870.939063318263</v>
      </c>
      <c r="AK50" s="706">
        <f t="shared" ref="AK50:AK81" si="16">AL50+AM50+AN50+AO50+AP50+AQ50+AR50+AS50+AT50+AU50+AV50+AW50+AX50+AY50+AZ50+BA50+BB50+BC50+BD50+BE50+BF50</f>
        <v>0</v>
      </c>
      <c r="AL50" s="589"/>
      <c r="AM50" s="589"/>
      <c r="AN50" s="589"/>
      <c r="AO50" s="589"/>
      <c r="AP50" s="589"/>
      <c r="AQ50" s="589"/>
      <c r="AR50" s="589"/>
      <c r="AS50" s="589"/>
      <c r="AT50" s="589"/>
      <c r="AU50" s="589"/>
      <c r="AV50" s="589"/>
      <c r="AW50" s="589"/>
      <c r="AX50" s="589"/>
      <c r="AY50" s="590"/>
      <c r="AZ50" s="590"/>
      <c r="BA50" s="589"/>
      <c r="BB50" s="589"/>
      <c r="BC50" s="589"/>
      <c r="BD50" s="589"/>
      <c r="BE50" s="589"/>
      <c r="BF50" s="589"/>
      <c r="BG50" s="597">
        <f>AI50-AK50</f>
        <v>10869.257142857143</v>
      </c>
      <c r="BH50" s="132"/>
      <c r="BI50" s="589"/>
      <c r="BJ50" s="589"/>
      <c r="BK50" s="589"/>
      <c r="BL50" s="195"/>
      <c r="BM50" s="195"/>
      <c r="BN50" s="169">
        <f>BI50+BJ50+BK50+BL50+BM50</f>
        <v>0</v>
      </c>
      <c r="BO50" s="28"/>
    </row>
    <row r="51" spans="1:67" s="71" customFormat="1" ht="13.5" customHeight="1" x14ac:dyDescent="0.25">
      <c r="A51" s="605">
        <v>2</v>
      </c>
      <c r="B51" s="552"/>
      <c r="C51" s="34" t="s">
        <v>13</v>
      </c>
      <c r="D51" s="61">
        <v>1966</v>
      </c>
      <c r="E51" s="96">
        <v>2</v>
      </c>
      <c r="F51" s="571">
        <v>16</v>
      </c>
      <c r="G51" s="574">
        <v>34</v>
      </c>
      <c r="H51" s="577">
        <v>627.76</v>
      </c>
      <c r="I51" s="558"/>
      <c r="J51" s="558"/>
      <c r="K51" s="558"/>
      <c r="L51" s="558"/>
      <c r="M51" s="558"/>
      <c r="N51" s="558"/>
      <c r="O51" s="558"/>
      <c r="P51" s="558"/>
      <c r="Q51" s="558"/>
      <c r="R51" s="558"/>
      <c r="S51" s="558"/>
      <c r="T51" s="558"/>
      <c r="U51" s="558"/>
      <c r="V51" s="558"/>
      <c r="W51" s="558"/>
      <c r="X51" s="558"/>
      <c r="Y51" s="555"/>
      <c r="Z51" s="556"/>
      <c r="AA51" s="557"/>
      <c r="AB51" s="557"/>
      <c r="AC51" s="566">
        <v>14940.31</v>
      </c>
      <c r="AD51" s="566">
        <v>15437.5</v>
      </c>
      <c r="AE51" s="566">
        <f t="shared" ref="AE51:AE81" si="17">AC51/7*12</f>
        <v>25611.96</v>
      </c>
      <c r="AF51" s="566"/>
      <c r="AG51" s="566">
        <f t="shared" ref="AG51:AG81" si="18">AE51-AC51</f>
        <v>10671.65</v>
      </c>
      <c r="AH51" s="566">
        <f t="shared" ref="AH51:AH82" si="19">AD10-AH10</f>
        <v>8668.4538709118933</v>
      </c>
      <c r="AI51" s="581">
        <f t="shared" ref="AI51:AI81" si="20">AE51</f>
        <v>25611.96</v>
      </c>
      <c r="AJ51" s="581">
        <f t="shared" ref="AJ51:AJ82" si="21">AH51+AD51</f>
        <v>24105.953870911893</v>
      </c>
      <c r="AK51" s="706">
        <f t="shared" si="16"/>
        <v>0</v>
      </c>
      <c r="AL51" s="589"/>
      <c r="AM51" s="589"/>
      <c r="AN51" s="589"/>
      <c r="AO51" s="589"/>
      <c r="AP51" s="589"/>
      <c r="AQ51" s="589"/>
      <c r="AR51" s="589"/>
      <c r="AS51" s="589"/>
      <c r="AT51" s="589"/>
      <c r="AU51" s="589"/>
      <c r="AV51" s="589"/>
      <c r="AW51" s="589"/>
      <c r="AX51" s="589"/>
      <c r="AY51" s="590"/>
      <c r="AZ51" s="590"/>
      <c r="BA51" s="589"/>
      <c r="BB51" s="589"/>
      <c r="BC51" s="589"/>
      <c r="BD51" s="589"/>
      <c r="BE51" s="589"/>
      <c r="BF51" s="589"/>
      <c r="BG51" s="597">
        <f t="shared" ref="BG51:BG81" si="22">AI51-AK51</f>
        <v>25611.96</v>
      </c>
      <c r="BH51" s="132"/>
      <c r="BI51" s="589"/>
      <c r="BJ51" s="589"/>
      <c r="BK51" s="589"/>
      <c r="BL51" s="195"/>
      <c r="BM51" s="195"/>
      <c r="BN51" s="169">
        <f t="shared" ref="BN51:BN81" si="23">BI51+BJ51+BK51+BL51+BM51</f>
        <v>0</v>
      </c>
      <c r="BO51" s="28"/>
    </row>
    <row r="52" spans="1:67" s="71" customFormat="1" ht="15.75" customHeight="1" x14ac:dyDescent="0.25">
      <c r="A52" s="605">
        <v>3</v>
      </c>
      <c r="B52" s="552"/>
      <c r="C52" s="35" t="s">
        <v>14</v>
      </c>
      <c r="D52" s="13">
        <v>1966</v>
      </c>
      <c r="E52" s="29">
        <v>2</v>
      </c>
      <c r="F52" s="572">
        <v>16</v>
      </c>
      <c r="G52" s="575">
        <v>35</v>
      </c>
      <c r="H52" s="578">
        <v>626.47</v>
      </c>
      <c r="I52" s="395"/>
      <c r="J52" s="395"/>
      <c r="K52" s="395"/>
      <c r="L52" s="395"/>
      <c r="M52" s="395"/>
      <c r="N52" s="395"/>
      <c r="O52" s="395"/>
      <c r="P52" s="395"/>
      <c r="Q52" s="395"/>
      <c r="R52" s="395"/>
      <c r="S52" s="395"/>
      <c r="T52" s="395"/>
      <c r="U52" s="395"/>
      <c r="V52" s="395"/>
      <c r="W52" s="395"/>
      <c r="X52" s="395"/>
      <c r="Y52" s="555"/>
      <c r="Z52" s="556"/>
      <c r="AA52" s="557"/>
      <c r="AB52" s="559"/>
      <c r="AC52" s="566">
        <v>14252.16</v>
      </c>
      <c r="AD52" s="566">
        <v>16745.97</v>
      </c>
      <c r="AE52" s="566">
        <f t="shared" si="17"/>
        <v>24432.274285714288</v>
      </c>
      <c r="AF52" s="566"/>
      <c r="AG52" s="566">
        <f t="shared" si="18"/>
        <v>10180.114285714288</v>
      </c>
      <c r="AH52" s="566">
        <f t="shared" si="19"/>
        <v>9985.6657536474959</v>
      </c>
      <c r="AI52" s="581">
        <f t="shared" si="20"/>
        <v>24432.274285714288</v>
      </c>
      <c r="AJ52" s="581">
        <f t="shared" si="21"/>
        <v>26731.635753647497</v>
      </c>
      <c r="AK52" s="706">
        <f t="shared" si="16"/>
        <v>44183.130000000005</v>
      </c>
      <c r="AL52" s="589"/>
      <c r="AM52" s="589"/>
      <c r="AN52" s="589"/>
      <c r="AO52" s="589"/>
      <c r="AP52" s="589">
        <v>41091</v>
      </c>
      <c r="AQ52" s="589">
        <v>2871.3</v>
      </c>
      <c r="AR52" s="589">
        <v>220.83</v>
      </c>
      <c r="AS52" s="589"/>
      <c r="AT52" s="589"/>
      <c r="AU52" s="589"/>
      <c r="AV52" s="589"/>
      <c r="AW52" s="589"/>
      <c r="AX52" s="589"/>
      <c r="AY52" s="590"/>
      <c r="AZ52" s="590"/>
      <c r="BA52" s="589"/>
      <c r="BB52" s="589"/>
      <c r="BC52" s="589"/>
      <c r="BD52" s="589"/>
      <c r="BE52" s="589"/>
      <c r="BF52" s="589"/>
      <c r="BG52" s="597">
        <f t="shared" si="22"/>
        <v>-19750.855714285717</v>
      </c>
      <c r="BH52" s="132"/>
      <c r="BI52" s="589">
        <v>12503</v>
      </c>
      <c r="BJ52" s="589"/>
      <c r="BK52" s="589"/>
      <c r="BL52" s="195"/>
      <c r="BM52" s="195"/>
      <c r="BN52" s="169">
        <f t="shared" si="23"/>
        <v>12503</v>
      </c>
      <c r="BO52" s="28"/>
    </row>
    <row r="53" spans="1:67" s="71" customFormat="1" ht="15" customHeight="1" x14ac:dyDescent="0.25">
      <c r="A53" s="605">
        <v>4</v>
      </c>
      <c r="B53" s="552"/>
      <c r="C53" s="35" t="s">
        <v>15</v>
      </c>
      <c r="D53" s="13">
        <v>1961</v>
      </c>
      <c r="E53" s="29">
        <v>2</v>
      </c>
      <c r="F53" s="572">
        <v>12</v>
      </c>
      <c r="G53" s="574">
        <v>39</v>
      </c>
      <c r="H53" s="578">
        <v>456.5</v>
      </c>
      <c r="I53" s="395"/>
      <c r="J53" s="395"/>
      <c r="K53" s="395"/>
      <c r="L53" s="395"/>
      <c r="M53" s="395"/>
      <c r="N53" s="395"/>
      <c r="O53" s="395"/>
      <c r="P53" s="395"/>
      <c r="Q53" s="395"/>
      <c r="R53" s="395"/>
      <c r="S53" s="395"/>
      <c r="T53" s="395"/>
      <c r="U53" s="395"/>
      <c r="V53" s="395"/>
      <c r="W53" s="395"/>
      <c r="X53" s="395"/>
      <c r="Y53" s="555"/>
      <c r="Z53" s="556"/>
      <c r="AA53" s="557"/>
      <c r="AB53" s="557"/>
      <c r="AC53" s="566">
        <v>11216.24</v>
      </c>
      <c r="AD53" s="566">
        <v>11554.77</v>
      </c>
      <c r="AE53" s="566">
        <f t="shared" si="17"/>
        <v>19227.84</v>
      </c>
      <c r="AF53" s="566"/>
      <c r="AG53" s="566">
        <f t="shared" si="18"/>
        <v>8011.6</v>
      </c>
      <c r="AH53" s="566">
        <f t="shared" si="19"/>
        <v>6917.7001793613163</v>
      </c>
      <c r="AI53" s="581">
        <f t="shared" si="20"/>
        <v>19227.84</v>
      </c>
      <c r="AJ53" s="581">
        <f t="shared" si="21"/>
        <v>18472.470179361317</v>
      </c>
      <c r="AK53" s="706">
        <f t="shared" si="16"/>
        <v>626</v>
      </c>
      <c r="AL53" s="589"/>
      <c r="AM53" s="589"/>
      <c r="AN53" s="589"/>
      <c r="AO53" s="589">
        <v>626</v>
      </c>
      <c r="AP53" s="589"/>
      <c r="AQ53" s="589"/>
      <c r="AR53" s="589"/>
      <c r="AS53" s="589"/>
      <c r="AT53" s="589"/>
      <c r="AU53" s="589"/>
      <c r="AV53" s="589"/>
      <c r="AW53" s="589"/>
      <c r="AX53" s="589"/>
      <c r="AY53" s="590"/>
      <c r="AZ53" s="590"/>
      <c r="BA53" s="589"/>
      <c r="BB53" s="589"/>
      <c r="BC53" s="589"/>
      <c r="BD53" s="589"/>
      <c r="BE53" s="589"/>
      <c r="BF53" s="589"/>
      <c r="BG53" s="597">
        <f t="shared" si="22"/>
        <v>18601.84</v>
      </c>
      <c r="BH53" s="132"/>
      <c r="BI53" s="589">
        <v>626</v>
      </c>
      <c r="BJ53" s="589"/>
      <c r="BK53" s="589"/>
      <c r="BL53" s="195"/>
      <c r="BM53" s="195"/>
      <c r="BN53" s="169">
        <f t="shared" si="23"/>
        <v>626</v>
      </c>
      <c r="BO53" s="28"/>
    </row>
    <row r="54" spans="1:67" s="71" customFormat="1" ht="15" customHeight="1" x14ac:dyDescent="0.25">
      <c r="A54" s="605">
        <v>5</v>
      </c>
      <c r="B54" s="552"/>
      <c r="C54" s="35" t="s">
        <v>16</v>
      </c>
      <c r="D54" s="13">
        <v>1961</v>
      </c>
      <c r="E54" s="29">
        <v>2</v>
      </c>
      <c r="F54" s="572">
        <v>12</v>
      </c>
      <c r="G54" s="575">
        <v>35</v>
      </c>
      <c r="H54" s="578">
        <v>459.7</v>
      </c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555"/>
      <c r="Z54" s="556"/>
      <c r="AA54" s="557"/>
      <c r="AB54" s="557"/>
      <c r="AC54" s="566">
        <v>10715.67</v>
      </c>
      <c r="AD54" s="566">
        <v>12875.11</v>
      </c>
      <c r="AE54" s="566">
        <f t="shared" si="17"/>
        <v>18369.72</v>
      </c>
      <c r="AF54" s="566"/>
      <c r="AG54" s="566">
        <f t="shared" si="18"/>
        <v>7654.0500000000011</v>
      </c>
      <c r="AH54" s="566">
        <f t="shared" si="19"/>
        <v>7208.5706707417339</v>
      </c>
      <c r="AI54" s="581">
        <f t="shared" si="20"/>
        <v>18369.72</v>
      </c>
      <c r="AJ54" s="581">
        <f t="shared" si="21"/>
        <v>20083.680670741735</v>
      </c>
      <c r="AK54" s="706">
        <f t="shared" si="16"/>
        <v>0</v>
      </c>
      <c r="AL54" s="589"/>
      <c r="AM54" s="589"/>
      <c r="AN54" s="589"/>
      <c r="AO54" s="589"/>
      <c r="AP54" s="589"/>
      <c r="AQ54" s="589"/>
      <c r="AR54" s="589"/>
      <c r="AS54" s="589"/>
      <c r="AT54" s="589"/>
      <c r="AU54" s="589"/>
      <c r="AV54" s="589"/>
      <c r="AW54" s="589"/>
      <c r="AX54" s="589"/>
      <c r="AY54" s="590"/>
      <c r="AZ54" s="590"/>
      <c r="BA54" s="589"/>
      <c r="BB54" s="589"/>
      <c r="BC54" s="589"/>
      <c r="BD54" s="589"/>
      <c r="BE54" s="589"/>
      <c r="BF54" s="589"/>
      <c r="BG54" s="597">
        <f t="shared" si="22"/>
        <v>18369.72</v>
      </c>
      <c r="BH54" s="132"/>
      <c r="BI54" s="589"/>
      <c r="BJ54" s="589"/>
      <c r="BK54" s="589"/>
      <c r="BL54" s="195"/>
      <c r="BM54" s="195"/>
      <c r="BN54" s="169">
        <f t="shared" si="23"/>
        <v>0</v>
      </c>
      <c r="BO54" s="28"/>
    </row>
    <row r="55" spans="1:67" s="71" customFormat="1" ht="15" customHeight="1" x14ac:dyDescent="0.25">
      <c r="A55" s="605">
        <v>6</v>
      </c>
      <c r="B55" s="552"/>
      <c r="C55" s="35" t="s">
        <v>17</v>
      </c>
      <c r="D55" s="13">
        <v>1960</v>
      </c>
      <c r="E55" s="29">
        <v>1</v>
      </c>
      <c r="F55" s="572">
        <v>6</v>
      </c>
      <c r="G55" s="574">
        <v>10</v>
      </c>
      <c r="H55" s="579">
        <v>129.56</v>
      </c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555"/>
      <c r="Z55" s="556"/>
      <c r="AA55" s="557"/>
      <c r="AB55" s="557"/>
      <c r="AC55" s="566">
        <v>307.67</v>
      </c>
      <c r="AD55" s="566">
        <v>225.21</v>
      </c>
      <c r="AE55" s="566">
        <f t="shared" si="17"/>
        <v>527.43428571428581</v>
      </c>
      <c r="AF55" s="566"/>
      <c r="AG55" s="566">
        <f t="shared" si="18"/>
        <v>219.76428571428579</v>
      </c>
      <c r="AH55" s="566">
        <f t="shared" si="19"/>
        <v>158.21952976894863</v>
      </c>
      <c r="AI55" s="581">
        <f t="shared" si="20"/>
        <v>527.43428571428581</v>
      </c>
      <c r="AJ55" s="581">
        <f t="shared" si="21"/>
        <v>383.42952976894867</v>
      </c>
      <c r="AK55" s="706">
        <f t="shared" si="16"/>
        <v>0</v>
      </c>
      <c r="AL55" s="589"/>
      <c r="AM55" s="589"/>
      <c r="AN55" s="589"/>
      <c r="AO55" s="589"/>
      <c r="AP55" s="589"/>
      <c r="AQ55" s="589"/>
      <c r="AR55" s="589"/>
      <c r="AS55" s="589"/>
      <c r="AT55" s="589"/>
      <c r="AU55" s="589"/>
      <c r="AV55" s="589"/>
      <c r="AW55" s="589"/>
      <c r="AX55" s="589"/>
      <c r="AY55" s="590"/>
      <c r="AZ55" s="590"/>
      <c r="BA55" s="589"/>
      <c r="BB55" s="589"/>
      <c r="BC55" s="589"/>
      <c r="BD55" s="589"/>
      <c r="BE55" s="589"/>
      <c r="BF55" s="589"/>
      <c r="BG55" s="597">
        <f t="shared" si="22"/>
        <v>527.43428571428581</v>
      </c>
      <c r="BH55" s="132"/>
      <c r="BI55" s="589"/>
      <c r="BJ55" s="589"/>
      <c r="BK55" s="589"/>
      <c r="BL55" s="195"/>
      <c r="BM55" s="195"/>
      <c r="BN55" s="169">
        <f t="shared" si="23"/>
        <v>0</v>
      </c>
      <c r="BO55" s="28"/>
    </row>
    <row r="56" spans="1:67" s="71" customFormat="1" ht="15" customHeight="1" x14ac:dyDescent="0.25">
      <c r="A56" s="605">
        <v>7</v>
      </c>
      <c r="B56" s="132"/>
      <c r="C56" s="35" t="s">
        <v>18</v>
      </c>
      <c r="D56" s="13">
        <v>1985</v>
      </c>
      <c r="E56" s="29">
        <v>4</v>
      </c>
      <c r="F56" s="572">
        <v>48</v>
      </c>
      <c r="G56" s="575">
        <v>106</v>
      </c>
      <c r="H56" s="578">
        <v>2625.8</v>
      </c>
      <c r="I56" s="395"/>
      <c r="J56" s="395"/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555"/>
      <c r="Z56" s="556"/>
      <c r="AA56" s="557"/>
      <c r="AB56" s="557"/>
      <c r="AC56" s="566">
        <v>50362.97</v>
      </c>
      <c r="AD56" s="566">
        <v>58536.38</v>
      </c>
      <c r="AE56" s="566">
        <f t="shared" si="17"/>
        <v>86336.52</v>
      </c>
      <c r="AF56" s="566"/>
      <c r="AG56" s="566">
        <f t="shared" si="18"/>
        <v>35973.550000000003</v>
      </c>
      <c r="AH56" s="566">
        <f t="shared" si="19"/>
        <v>36654.16974135919</v>
      </c>
      <c r="AI56" s="581">
        <f t="shared" si="20"/>
        <v>86336.52</v>
      </c>
      <c r="AJ56" s="581">
        <f t="shared" si="21"/>
        <v>95190.549741359195</v>
      </c>
      <c r="AK56" s="706">
        <f t="shared" si="16"/>
        <v>26469.86</v>
      </c>
      <c r="AL56" s="589">
        <v>14960</v>
      </c>
      <c r="AM56" s="589"/>
      <c r="AN56" s="589"/>
      <c r="AO56" s="589">
        <v>1960.4</v>
      </c>
      <c r="AP56" s="589"/>
      <c r="AQ56" s="589"/>
      <c r="AR56" s="589"/>
      <c r="AS56" s="589">
        <v>1233.8399999999999</v>
      </c>
      <c r="AT56" s="589">
        <v>8315.6200000000008</v>
      </c>
      <c r="AU56" s="589"/>
      <c r="AV56" s="589"/>
      <c r="AW56" s="589"/>
      <c r="AX56" s="589"/>
      <c r="AY56" s="590"/>
      <c r="AZ56" s="590"/>
      <c r="BA56" s="589"/>
      <c r="BB56" s="589"/>
      <c r="BC56" s="589"/>
      <c r="BD56" s="589"/>
      <c r="BE56" s="589"/>
      <c r="BF56" s="589"/>
      <c r="BG56" s="597">
        <f t="shared" si="22"/>
        <v>59866.66</v>
      </c>
      <c r="BH56" s="132"/>
      <c r="BI56" s="589">
        <v>11509.86</v>
      </c>
      <c r="BJ56" s="589">
        <v>14960</v>
      </c>
      <c r="BK56" s="589"/>
      <c r="BL56" s="195"/>
      <c r="BM56" s="195"/>
      <c r="BN56" s="169">
        <f t="shared" si="23"/>
        <v>26469.86</v>
      </c>
      <c r="BO56" s="28"/>
    </row>
    <row r="57" spans="1:67" s="71" customFormat="1" ht="15" customHeight="1" x14ac:dyDescent="0.25">
      <c r="A57" s="605">
        <v>8</v>
      </c>
      <c r="B57" s="132"/>
      <c r="C57" s="35" t="s">
        <v>19</v>
      </c>
      <c r="D57" s="13">
        <v>1968</v>
      </c>
      <c r="E57" s="29">
        <v>2</v>
      </c>
      <c r="F57" s="572">
        <v>22</v>
      </c>
      <c r="G57" s="574">
        <v>60</v>
      </c>
      <c r="H57" s="578">
        <v>857.42</v>
      </c>
      <c r="I57" s="395"/>
      <c r="J57" s="395"/>
      <c r="K57" s="395"/>
      <c r="L57" s="395"/>
      <c r="M57" s="395"/>
      <c r="N57" s="395"/>
      <c r="O57" s="395"/>
      <c r="P57" s="395"/>
      <c r="Q57" s="395"/>
      <c r="R57" s="395"/>
      <c r="S57" s="395"/>
      <c r="T57" s="395"/>
      <c r="U57" s="395"/>
      <c r="V57" s="395"/>
      <c r="W57" s="395"/>
      <c r="X57" s="395"/>
      <c r="Y57" s="555"/>
      <c r="Z57" s="556"/>
      <c r="AA57" s="557"/>
      <c r="AB57" s="557"/>
      <c r="AC57" s="566">
        <v>21367.43</v>
      </c>
      <c r="AD57" s="566">
        <v>24389.119999999999</v>
      </c>
      <c r="AE57" s="566">
        <f t="shared" si="17"/>
        <v>36629.880000000005</v>
      </c>
      <c r="AF57" s="566"/>
      <c r="AG57" s="566">
        <f t="shared" si="18"/>
        <v>15262.450000000004</v>
      </c>
      <c r="AH57" s="566">
        <f t="shared" si="19"/>
        <v>14600.670126868383</v>
      </c>
      <c r="AI57" s="581">
        <f t="shared" si="20"/>
        <v>36629.880000000005</v>
      </c>
      <c r="AJ57" s="581">
        <f t="shared" si="21"/>
        <v>38989.790126868378</v>
      </c>
      <c r="AK57" s="706">
        <f t="shared" si="16"/>
        <v>0</v>
      </c>
      <c r="AL57" s="589"/>
      <c r="AM57" s="589"/>
      <c r="AN57" s="589"/>
      <c r="AO57" s="589"/>
      <c r="AP57" s="589"/>
      <c r="AQ57" s="589"/>
      <c r="AR57" s="589"/>
      <c r="AS57" s="589"/>
      <c r="AT57" s="589"/>
      <c r="AU57" s="589"/>
      <c r="AV57" s="589"/>
      <c r="AW57" s="589"/>
      <c r="AX57" s="589"/>
      <c r="AY57" s="590"/>
      <c r="AZ57" s="590"/>
      <c r="BA57" s="589"/>
      <c r="BB57" s="589"/>
      <c r="BC57" s="589"/>
      <c r="BD57" s="589"/>
      <c r="BE57" s="589"/>
      <c r="BF57" s="589"/>
      <c r="BG57" s="597">
        <f t="shared" si="22"/>
        <v>36629.880000000005</v>
      </c>
      <c r="BH57" s="132"/>
      <c r="BI57" s="589"/>
      <c r="BJ57" s="589"/>
      <c r="BK57" s="589"/>
      <c r="BL57" s="195"/>
      <c r="BM57" s="195"/>
      <c r="BN57" s="169">
        <f t="shared" si="23"/>
        <v>0</v>
      </c>
      <c r="BO57" s="28"/>
    </row>
    <row r="58" spans="1:67" s="71" customFormat="1" ht="15" customHeight="1" x14ac:dyDescent="0.25">
      <c r="A58" s="605">
        <v>9</v>
      </c>
      <c r="B58" s="132"/>
      <c r="C58" s="35" t="s">
        <v>20</v>
      </c>
      <c r="D58" s="13">
        <v>1969</v>
      </c>
      <c r="E58" s="29">
        <v>2</v>
      </c>
      <c r="F58" s="572">
        <v>22</v>
      </c>
      <c r="G58" s="575">
        <v>55</v>
      </c>
      <c r="H58" s="578">
        <v>805.1</v>
      </c>
      <c r="I58" s="395"/>
      <c r="J58" s="395"/>
      <c r="K58" s="395"/>
      <c r="L58" s="395"/>
      <c r="M58" s="395"/>
      <c r="N58" s="395"/>
      <c r="O58" s="395"/>
      <c r="P58" s="395"/>
      <c r="Q58" s="395"/>
      <c r="R58" s="395"/>
      <c r="S58" s="395"/>
      <c r="T58" s="395"/>
      <c r="U58" s="395"/>
      <c r="V58" s="395"/>
      <c r="W58" s="395"/>
      <c r="X58" s="395"/>
      <c r="Y58" s="555"/>
      <c r="Z58" s="556"/>
      <c r="AA58" s="557"/>
      <c r="AB58" s="557"/>
      <c r="AC58" s="566">
        <v>21734.65</v>
      </c>
      <c r="AD58" s="566">
        <v>25017.11</v>
      </c>
      <c r="AE58" s="566">
        <f t="shared" si="17"/>
        <v>37259.4</v>
      </c>
      <c r="AF58" s="566"/>
      <c r="AG58" s="566">
        <f t="shared" si="18"/>
        <v>15524.75</v>
      </c>
      <c r="AH58" s="566">
        <f t="shared" si="19"/>
        <v>14350.375181856434</v>
      </c>
      <c r="AI58" s="581">
        <f t="shared" si="20"/>
        <v>37259.4</v>
      </c>
      <c r="AJ58" s="581">
        <f t="shared" si="21"/>
        <v>39367.485181856435</v>
      </c>
      <c r="AK58" s="706">
        <f t="shared" si="16"/>
        <v>52627</v>
      </c>
      <c r="AL58" s="589"/>
      <c r="AM58" s="589"/>
      <c r="AN58" s="589"/>
      <c r="AO58" s="589"/>
      <c r="AP58" s="589">
        <v>52627</v>
      </c>
      <c r="AQ58" s="589"/>
      <c r="AR58" s="589"/>
      <c r="AS58" s="589"/>
      <c r="AT58" s="589"/>
      <c r="AU58" s="589"/>
      <c r="AV58" s="589"/>
      <c r="AW58" s="589"/>
      <c r="AX58" s="589"/>
      <c r="AY58" s="590"/>
      <c r="AZ58" s="590"/>
      <c r="BA58" s="589"/>
      <c r="BB58" s="589"/>
      <c r="BC58" s="589"/>
      <c r="BD58" s="589"/>
      <c r="BE58" s="589"/>
      <c r="BF58" s="589"/>
      <c r="BG58" s="597">
        <f t="shared" si="22"/>
        <v>-15367.599999999999</v>
      </c>
      <c r="BH58" s="132"/>
      <c r="BI58" s="589">
        <v>15802.98</v>
      </c>
      <c r="BJ58" s="589"/>
      <c r="BK58" s="589"/>
      <c r="BL58" s="195"/>
      <c r="BM58" s="195"/>
      <c r="BN58" s="169">
        <f t="shared" si="23"/>
        <v>15802.98</v>
      </c>
      <c r="BO58" s="28"/>
    </row>
    <row r="59" spans="1:67" s="71" customFormat="1" ht="15" customHeight="1" x14ac:dyDescent="0.25">
      <c r="A59" s="605">
        <v>10</v>
      </c>
      <c r="B59" s="132"/>
      <c r="C59" s="35" t="s">
        <v>21</v>
      </c>
      <c r="D59" s="13">
        <v>1963</v>
      </c>
      <c r="E59" s="29">
        <v>2</v>
      </c>
      <c r="F59" s="572">
        <v>16</v>
      </c>
      <c r="G59" s="574">
        <v>25</v>
      </c>
      <c r="H59" s="578">
        <v>636.21</v>
      </c>
      <c r="I59" s="395"/>
      <c r="J59" s="395"/>
      <c r="K59" s="395"/>
      <c r="L59" s="395"/>
      <c r="M59" s="395"/>
      <c r="N59" s="395"/>
      <c r="O59" s="395"/>
      <c r="P59" s="395"/>
      <c r="Q59" s="395"/>
      <c r="R59" s="395"/>
      <c r="S59" s="395"/>
      <c r="T59" s="395"/>
      <c r="U59" s="395"/>
      <c r="V59" s="395"/>
      <c r="W59" s="395"/>
      <c r="X59" s="395"/>
      <c r="Y59" s="555"/>
      <c r="Z59" s="556"/>
      <c r="AA59" s="557"/>
      <c r="AB59" s="557"/>
      <c r="AC59" s="566">
        <v>15544.48</v>
      </c>
      <c r="AD59" s="566">
        <v>17631.93</v>
      </c>
      <c r="AE59" s="566">
        <f t="shared" si="17"/>
        <v>26647.68</v>
      </c>
      <c r="AF59" s="566"/>
      <c r="AG59" s="566">
        <f t="shared" si="18"/>
        <v>11103.2</v>
      </c>
      <c r="AH59" s="566">
        <f t="shared" si="19"/>
        <v>10587.090646785218</v>
      </c>
      <c r="AI59" s="581">
        <f t="shared" si="20"/>
        <v>26647.68</v>
      </c>
      <c r="AJ59" s="581">
        <f t="shared" si="21"/>
        <v>28219.020646785219</v>
      </c>
      <c r="AK59" s="706">
        <f t="shared" si="16"/>
        <v>1252</v>
      </c>
      <c r="AL59" s="589"/>
      <c r="AM59" s="589"/>
      <c r="AN59" s="589"/>
      <c r="AO59" s="589">
        <v>1252</v>
      </c>
      <c r="AP59" s="589"/>
      <c r="AQ59" s="589"/>
      <c r="AR59" s="589"/>
      <c r="AS59" s="589"/>
      <c r="AT59" s="589"/>
      <c r="AU59" s="589"/>
      <c r="AV59" s="589"/>
      <c r="AW59" s="589"/>
      <c r="AX59" s="589"/>
      <c r="AY59" s="590"/>
      <c r="AZ59" s="590"/>
      <c r="BA59" s="589"/>
      <c r="BB59" s="589"/>
      <c r="BC59" s="589"/>
      <c r="BD59" s="589"/>
      <c r="BE59" s="589"/>
      <c r="BF59" s="589"/>
      <c r="BG59" s="597">
        <f t="shared" si="22"/>
        <v>25395.68</v>
      </c>
      <c r="BH59" s="132"/>
      <c r="BI59" s="589">
        <v>1252</v>
      </c>
      <c r="BJ59" s="589"/>
      <c r="BK59" s="589"/>
      <c r="BL59" s="195"/>
      <c r="BM59" s="195"/>
      <c r="BN59" s="169">
        <f t="shared" si="23"/>
        <v>1252</v>
      </c>
      <c r="BO59" s="28"/>
    </row>
    <row r="60" spans="1:67" s="71" customFormat="1" ht="15" customHeight="1" x14ac:dyDescent="0.25">
      <c r="A60" s="605">
        <v>11</v>
      </c>
      <c r="B60" s="132"/>
      <c r="C60" s="35" t="s">
        <v>22</v>
      </c>
      <c r="D60" s="13">
        <v>1972</v>
      </c>
      <c r="E60" s="29">
        <v>2</v>
      </c>
      <c r="F60" s="572">
        <v>18</v>
      </c>
      <c r="G60" s="575">
        <v>44</v>
      </c>
      <c r="H60" s="578">
        <v>779.26</v>
      </c>
      <c r="I60" s="395"/>
      <c r="J60" s="395"/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555"/>
      <c r="Z60" s="556"/>
      <c r="AA60" s="557"/>
      <c r="AB60" s="557"/>
      <c r="AC60" s="566">
        <v>30003.43</v>
      </c>
      <c r="AD60" s="566">
        <v>21318.45</v>
      </c>
      <c r="AE60" s="566">
        <f t="shared" si="17"/>
        <v>51434.451428571432</v>
      </c>
      <c r="AF60" s="566"/>
      <c r="AG60" s="566">
        <f t="shared" si="18"/>
        <v>21431.021428571432</v>
      </c>
      <c r="AH60" s="566">
        <f t="shared" si="19"/>
        <v>16140.723589309331</v>
      </c>
      <c r="AI60" s="581">
        <f t="shared" si="20"/>
        <v>51434.451428571432</v>
      </c>
      <c r="AJ60" s="581">
        <f t="shared" si="21"/>
        <v>37459.173589309328</v>
      </c>
      <c r="AK60" s="706">
        <f t="shared" si="16"/>
        <v>43407.78</v>
      </c>
      <c r="AL60" s="589"/>
      <c r="AM60" s="589"/>
      <c r="AN60" s="589"/>
      <c r="AO60" s="589">
        <v>563.78</v>
      </c>
      <c r="AP60" s="589">
        <v>42844</v>
      </c>
      <c r="AQ60" s="589"/>
      <c r="AR60" s="589"/>
      <c r="AS60" s="589"/>
      <c r="AT60" s="589"/>
      <c r="AU60" s="589"/>
      <c r="AV60" s="589"/>
      <c r="AW60" s="589"/>
      <c r="AX60" s="589"/>
      <c r="AY60" s="590"/>
      <c r="AZ60" s="590"/>
      <c r="BA60" s="589"/>
      <c r="BB60" s="589"/>
      <c r="BC60" s="589"/>
      <c r="BD60" s="589"/>
      <c r="BE60" s="589"/>
      <c r="BF60" s="589"/>
      <c r="BG60" s="597">
        <f t="shared" si="22"/>
        <v>8026.6714285714334</v>
      </c>
      <c r="BH60" s="132"/>
      <c r="BI60" s="589">
        <v>8068.76</v>
      </c>
      <c r="BJ60" s="589"/>
      <c r="BK60" s="589"/>
      <c r="BL60" s="195"/>
      <c r="BM60" s="195"/>
      <c r="BN60" s="169">
        <f t="shared" si="23"/>
        <v>8068.76</v>
      </c>
      <c r="BO60" s="28"/>
    </row>
    <row r="61" spans="1:67" s="71" customFormat="1" ht="15" customHeight="1" x14ac:dyDescent="0.25">
      <c r="A61" s="605">
        <v>12</v>
      </c>
      <c r="B61" s="132"/>
      <c r="C61" s="35" t="s">
        <v>23</v>
      </c>
      <c r="D61" s="13">
        <v>1972</v>
      </c>
      <c r="E61" s="29">
        <v>2</v>
      </c>
      <c r="F61" s="572">
        <v>18</v>
      </c>
      <c r="G61" s="574">
        <v>44</v>
      </c>
      <c r="H61" s="578">
        <v>771.52</v>
      </c>
      <c r="I61" s="395"/>
      <c r="J61" s="395"/>
      <c r="K61" s="395"/>
      <c r="L61" s="395"/>
      <c r="M61" s="395"/>
      <c r="N61" s="395"/>
      <c r="O61" s="395"/>
      <c r="P61" s="395"/>
      <c r="Q61" s="395"/>
      <c r="R61" s="395"/>
      <c r="S61" s="395"/>
      <c r="T61" s="395"/>
      <c r="U61" s="395"/>
      <c r="V61" s="395"/>
      <c r="W61" s="395"/>
      <c r="X61" s="395"/>
      <c r="Y61" s="555"/>
      <c r="Z61" s="556"/>
      <c r="AA61" s="557"/>
      <c r="AB61" s="557"/>
      <c r="AC61" s="566">
        <v>10575.53</v>
      </c>
      <c r="AD61" s="566">
        <v>11336.03</v>
      </c>
      <c r="AE61" s="566">
        <f t="shared" si="17"/>
        <v>18129.480000000003</v>
      </c>
      <c r="AF61" s="566"/>
      <c r="AG61" s="566">
        <f t="shared" si="18"/>
        <v>7553.9500000000025</v>
      </c>
      <c r="AH61" s="566">
        <f t="shared" si="19"/>
        <v>6458.3283774748124</v>
      </c>
      <c r="AI61" s="581">
        <f t="shared" si="20"/>
        <v>18129.480000000003</v>
      </c>
      <c r="AJ61" s="581">
        <f t="shared" si="21"/>
        <v>17794.358377474811</v>
      </c>
      <c r="AK61" s="706">
        <f t="shared" si="16"/>
        <v>1641.11</v>
      </c>
      <c r="AL61" s="589"/>
      <c r="AM61" s="589">
        <v>1641.11</v>
      </c>
      <c r="AN61" s="589"/>
      <c r="AO61" s="589"/>
      <c r="AP61" s="589"/>
      <c r="AQ61" s="589"/>
      <c r="AR61" s="589"/>
      <c r="AS61" s="589"/>
      <c r="AT61" s="589"/>
      <c r="AU61" s="589"/>
      <c r="AV61" s="589"/>
      <c r="AW61" s="589"/>
      <c r="AX61" s="589"/>
      <c r="AY61" s="590"/>
      <c r="AZ61" s="590"/>
      <c r="BA61" s="589"/>
      <c r="BB61" s="589"/>
      <c r="BC61" s="589"/>
      <c r="BD61" s="589"/>
      <c r="BE61" s="589"/>
      <c r="BF61" s="589"/>
      <c r="BG61" s="597">
        <f t="shared" si="22"/>
        <v>16488.370000000003</v>
      </c>
      <c r="BH61" s="132"/>
      <c r="BI61" s="589">
        <v>1641.11</v>
      </c>
      <c r="BJ61" s="589"/>
      <c r="BK61" s="589"/>
      <c r="BL61" s="195"/>
      <c r="BM61" s="195"/>
      <c r="BN61" s="169">
        <f t="shared" si="23"/>
        <v>1641.11</v>
      </c>
      <c r="BO61" s="28"/>
    </row>
    <row r="62" spans="1:67" s="71" customFormat="1" ht="15" customHeight="1" x14ac:dyDescent="0.25">
      <c r="A62" s="605">
        <v>13</v>
      </c>
      <c r="B62" s="132"/>
      <c r="C62" s="35" t="s">
        <v>24</v>
      </c>
      <c r="D62" s="13">
        <v>1978</v>
      </c>
      <c r="E62" s="29">
        <v>3</v>
      </c>
      <c r="F62" s="572">
        <v>24</v>
      </c>
      <c r="G62" s="575">
        <v>68</v>
      </c>
      <c r="H62" s="578">
        <v>1443.9</v>
      </c>
      <c r="I62" s="395"/>
      <c r="J62" s="395"/>
      <c r="K62" s="395"/>
      <c r="L62" s="395"/>
      <c r="M62" s="395"/>
      <c r="N62" s="395"/>
      <c r="O62" s="395"/>
      <c r="P62" s="395"/>
      <c r="Q62" s="395"/>
      <c r="R62" s="395"/>
      <c r="S62" s="395"/>
      <c r="T62" s="395"/>
      <c r="U62" s="395"/>
      <c r="V62" s="395"/>
      <c r="W62" s="395"/>
      <c r="X62" s="395"/>
      <c r="Y62" s="555"/>
      <c r="Z62" s="556"/>
      <c r="AA62" s="557"/>
      <c r="AB62" s="557"/>
      <c r="AC62" s="566">
        <v>25773.93</v>
      </c>
      <c r="AD62" s="566">
        <v>30287.5</v>
      </c>
      <c r="AE62" s="566">
        <f t="shared" si="17"/>
        <v>44183.880000000005</v>
      </c>
      <c r="AF62" s="566"/>
      <c r="AG62" s="566">
        <f t="shared" si="18"/>
        <v>18409.950000000004</v>
      </c>
      <c r="AH62" s="566">
        <f t="shared" si="19"/>
        <v>18614.488950244646</v>
      </c>
      <c r="AI62" s="581">
        <f t="shared" si="20"/>
        <v>44183.880000000005</v>
      </c>
      <c r="AJ62" s="581">
        <f t="shared" si="21"/>
        <v>48901.988950244646</v>
      </c>
      <c r="AK62" s="706">
        <f t="shared" si="16"/>
        <v>0</v>
      </c>
      <c r="AL62" s="589"/>
      <c r="AM62" s="589"/>
      <c r="AN62" s="589"/>
      <c r="AO62" s="589"/>
      <c r="AP62" s="589"/>
      <c r="AQ62" s="589"/>
      <c r="AR62" s="589"/>
      <c r="AS62" s="589"/>
      <c r="AT62" s="589"/>
      <c r="AU62" s="589"/>
      <c r="AV62" s="589"/>
      <c r="AW62" s="589"/>
      <c r="AX62" s="589"/>
      <c r="AY62" s="590"/>
      <c r="AZ62" s="590"/>
      <c r="BA62" s="589"/>
      <c r="BB62" s="589"/>
      <c r="BC62" s="589"/>
      <c r="BD62" s="589"/>
      <c r="BE62" s="589"/>
      <c r="BF62" s="589"/>
      <c r="BG62" s="597">
        <f t="shared" si="22"/>
        <v>44183.880000000005</v>
      </c>
      <c r="BH62" s="132"/>
      <c r="BI62" s="589"/>
      <c r="BJ62" s="589"/>
      <c r="BK62" s="589"/>
      <c r="BL62" s="195"/>
      <c r="BM62" s="195"/>
      <c r="BN62" s="169">
        <f t="shared" si="23"/>
        <v>0</v>
      </c>
      <c r="BO62" s="28"/>
    </row>
    <row r="63" spans="1:67" s="71" customFormat="1" ht="15" customHeight="1" x14ac:dyDescent="0.25">
      <c r="A63" s="605">
        <v>14</v>
      </c>
      <c r="B63" s="132"/>
      <c r="C63" s="35" t="s">
        <v>25</v>
      </c>
      <c r="D63" s="13">
        <v>1979</v>
      </c>
      <c r="E63" s="29">
        <v>5</v>
      </c>
      <c r="F63" s="572">
        <v>60</v>
      </c>
      <c r="G63" s="574">
        <v>181</v>
      </c>
      <c r="H63" s="578">
        <v>3240.38</v>
      </c>
      <c r="I63" s="395"/>
      <c r="J63" s="395"/>
      <c r="K63" s="395"/>
      <c r="L63" s="395"/>
      <c r="M63" s="395"/>
      <c r="N63" s="395"/>
      <c r="O63" s="395"/>
      <c r="P63" s="395"/>
      <c r="Q63" s="395"/>
      <c r="R63" s="395"/>
      <c r="S63" s="395"/>
      <c r="T63" s="395"/>
      <c r="U63" s="395"/>
      <c r="V63" s="395"/>
      <c r="W63" s="395"/>
      <c r="X63" s="395"/>
      <c r="Y63" s="555"/>
      <c r="Z63" s="556"/>
      <c r="AA63" s="557"/>
      <c r="AB63" s="557"/>
      <c r="AC63" s="566">
        <v>54681.599999999999</v>
      </c>
      <c r="AD63" s="566">
        <v>64734.89</v>
      </c>
      <c r="AE63" s="566">
        <f t="shared" si="17"/>
        <v>93739.885714285716</v>
      </c>
      <c r="AF63" s="566"/>
      <c r="AG63" s="566">
        <f t="shared" si="18"/>
        <v>39058.285714285717</v>
      </c>
      <c r="AH63" s="566">
        <f t="shared" si="19"/>
        <v>38603.485853116727</v>
      </c>
      <c r="AI63" s="581">
        <f t="shared" si="20"/>
        <v>93739.885714285716</v>
      </c>
      <c r="AJ63" s="581">
        <f t="shared" si="21"/>
        <v>103338.37585311673</v>
      </c>
      <c r="AK63" s="706">
        <f t="shared" si="16"/>
        <v>27984.89</v>
      </c>
      <c r="AL63" s="589"/>
      <c r="AM63" s="589">
        <v>22181.74</v>
      </c>
      <c r="AN63" s="589"/>
      <c r="AO63" s="589"/>
      <c r="AP63" s="589"/>
      <c r="AQ63" s="589"/>
      <c r="AR63" s="589"/>
      <c r="AS63" s="589"/>
      <c r="AT63" s="589"/>
      <c r="AU63" s="589">
        <v>4505.1499999999996</v>
      </c>
      <c r="AV63" s="589">
        <v>1298</v>
      </c>
      <c r="AW63" s="589"/>
      <c r="AX63" s="589"/>
      <c r="AY63" s="590"/>
      <c r="AZ63" s="590"/>
      <c r="BA63" s="589"/>
      <c r="BB63" s="589"/>
      <c r="BC63" s="589"/>
      <c r="BD63" s="589"/>
      <c r="BE63" s="589"/>
      <c r="BF63" s="589"/>
      <c r="BG63" s="597">
        <f t="shared" si="22"/>
        <v>65754.995714285717</v>
      </c>
      <c r="BH63" s="132"/>
      <c r="BI63" s="589">
        <v>8653.15</v>
      </c>
      <c r="BJ63" s="589"/>
      <c r="BK63" s="589">
        <v>12457.2</v>
      </c>
      <c r="BL63" s="195">
        <v>3643</v>
      </c>
      <c r="BM63" s="195"/>
      <c r="BN63" s="169">
        <f t="shared" si="23"/>
        <v>24753.35</v>
      </c>
      <c r="BO63" s="28"/>
    </row>
    <row r="64" spans="1:67" s="71" customFormat="1" ht="15" customHeight="1" x14ac:dyDescent="0.25">
      <c r="A64" s="605">
        <v>15</v>
      </c>
      <c r="B64" s="132"/>
      <c r="C64" s="35" t="s">
        <v>26</v>
      </c>
      <c r="D64" s="13">
        <v>1981</v>
      </c>
      <c r="E64" s="29">
        <v>5</v>
      </c>
      <c r="F64" s="572">
        <v>60</v>
      </c>
      <c r="G64" s="575">
        <v>163</v>
      </c>
      <c r="H64" s="578">
        <v>3236.3</v>
      </c>
      <c r="I64" s="395"/>
      <c r="J64" s="395"/>
      <c r="K64" s="395"/>
      <c r="L64" s="395"/>
      <c r="M64" s="395"/>
      <c r="N64" s="395"/>
      <c r="O64" s="395"/>
      <c r="P64" s="395"/>
      <c r="Q64" s="395"/>
      <c r="R64" s="395"/>
      <c r="S64" s="395"/>
      <c r="T64" s="395"/>
      <c r="U64" s="395"/>
      <c r="V64" s="395"/>
      <c r="W64" s="395"/>
      <c r="X64" s="395"/>
      <c r="Y64" s="555"/>
      <c r="Z64" s="556"/>
      <c r="AA64" s="557"/>
      <c r="AB64" s="557"/>
      <c r="AC64" s="566">
        <v>52792.04</v>
      </c>
      <c r="AD64" s="566">
        <v>60053.11</v>
      </c>
      <c r="AE64" s="566">
        <f t="shared" si="17"/>
        <v>90500.64</v>
      </c>
      <c r="AF64" s="566"/>
      <c r="AG64" s="566">
        <f t="shared" si="18"/>
        <v>37708.6</v>
      </c>
      <c r="AH64" s="566">
        <f t="shared" si="19"/>
        <v>36388.606297897059</v>
      </c>
      <c r="AI64" s="581">
        <f t="shared" si="20"/>
        <v>90500.64</v>
      </c>
      <c r="AJ64" s="581">
        <f t="shared" si="21"/>
        <v>96441.716297897059</v>
      </c>
      <c r="AK64" s="706">
        <f t="shared" si="16"/>
        <v>22940.98</v>
      </c>
      <c r="AL64" s="589">
        <v>4400</v>
      </c>
      <c r="AM64" s="589"/>
      <c r="AN64" s="589"/>
      <c r="AO64" s="589">
        <v>2350.13</v>
      </c>
      <c r="AP64" s="589"/>
      <c r="AQ64" s="589"/>
      <c r="AR64" s="589"/>
      <c r="AS64" s="589"/>
      <c r="AT64" s="589"/>
      <c r="AU64" s="589">
        <v>5998.51</v>
      </c>
      <c r="AV64" s="589"/>
      <c r="AW64" s="589">
        <v>1824.5</v>
      </c>
      <c r="AX64" s="589">
        <v>217.21</v>
      </c>
      <c r="AY64" s="590">
        <v>126.97</v>
      </c>
      <c r="AZ64" s="590">
        <v>1624.66</v>
      </c>
      <c r="BA64" s="589">
        <v>6399</v>
      </c>
      <c r="BB64" s="589"/>
      <c r="BC64" s="589"/>
      <c r="BD64" s="589"/>
      <c r="BE64" s="589"/>
      <c r="BF64" s="589"/>
      <c r="BG64" s="597">
        <f t="shared" si="22"/>
        <v>67559.66</v>
      </c>
      <c r="BH64" s="132"/>
      <c r="BI64" s="589">
        <v>18540.98</v>
      </c>
      <c r="BJ64" s="589">
        <v>4400</v>
      </c>
      <c r="BK64" s="589"/>
      <c r="BL64" s="195"/>
      <c r="BM64" s="195"/>
      <c r="BN64" s="169">
        <f t="shared" si="23"/>
        <v>22940.98</v>
      </c>
      <c r="BO64" s="28"/>
    </row>
    <row r="65" spans="1:67" s="71" customFormat="1" ht="15" customHeight="1" x14ac:dyDescent="0.25">
      <c r="A65" s="605">
        <v>16</v>
      </c>
      <c r="B65" s="132"/>
      <c r="C65" s="35" t="s">
        <v>27</v>
      </c>
      <c r="D65" s="13">
        <v>1981</v>
      </c>
      <c r="E65" s="29">
        <v>5</v>
      </c>
      <c r="F65" s="572">
        <v>60</v>
      </c>
      <c r="G65" s="574">
        <v>184</v>
      </c>
      <c r="H65" s="578">
        <v>3236.3</v>
      </c>
      <c r="I65" s="395"/>
      <c r="J65" s="395"/>
      <c r="K65" s="395"/>
      <c r="L65" s="395"/>
      <c r="M65" s="395"/>
      <c r="N65" s="395"/>
      <c r="O65" s="395"/>
      <c r="P65" s="395"/>
      <c r="Q65" s="395"/>
      <c r="R65" s="395"/>
      <c r="S65" s="395"/>
      <c r="T65" s="395"/>
      <c r="U65" s="395"/>
      <c r="V65" s="395"/>
      <c r="W65" s="395"/>
      <c r="X65" s="395"/>
      <c r="Y65" s="555"/>
      <c r="Z65" s="556"/>
      <c r="AA65" s="557"/>
      <c r="AB65" s="557"/>
      <c r="AC65" s="566">
        <v>79335.13</v>
      </c>
      <c r="AD65" s="566">
        <v>97045.59</v>
      </c>
      <c r="AE65" s="566">
        <f t="shared" si="17"/>
        <v>136003.08000000002</v>
      </c>
      <c r="AF65" s="566"/>
      <c r="AG65" s="566">
        <f t="shared" si="18"/>
        <v>56667.950000000012</v>
      </c>
      <c r="AH65" s="566">
        <f t="shared" si="19"/>
        <v>55281.392191564024</v>
      </c>
      <c r="AI65" s="581">
        <f t="shared" si="20"/>
        <v>136003.08000000002</v>
      </c>
      <c r="AJ65" s="581">
        <f t="shared" si="21"/>
        <v>152326.98219156402</v>
      </c>
      <c r="AK65" s="706">
        <f t="shared" si="16"/>
        <v>99850.54</v>
      </c>
      <c r="AL65" s="589">
        <v>4400</v>
      </c>
      <c r="AM65" s="589"/>
      <c r="AN65" s="589"/>
      <c r="AO65" s="589"/>
      <c r="AP65" s="589"/>
      <c r="AQ65" s="589"/>
      <c r="AR65" s="589"/>
      <c r="AS65" s="589"/>
      <c r="AT65" s="589"/>
      <c r="AU65" s="589"/>
      <c r="AV65" s="589"/>
      <c r="AW65" s="589"/>
      <c r="AX65" s="589">
        <v>16040.07</v>
      </c>
      <c r="AY65" s="590"/>
      <c r="AZ65" s="590"/>
      <c r="BA65" s="589"/>
      <c r="BB65" s="589">
        <v>3132.49</v>
      </c>
      <c r="BC65" s="589">
        <v>13438.67</v>
      </c>
      <c r="BD65" s="589"/>
      <c r="BE65" s="589">
        <v>62839.31</v>
      </c>
      <c r="BF65" s="589"/>
      <c r="BG65" s="597">
        <f t="shared" si="22"/>
        <v>36152.540000000023</v>
      </c>
      <c r="BH65" s="132"/>
      <c r="BI65" s="589">
        <v>32611.23</v>
      </c>
      <c r="BJ65" s="589">
        <v>4400</v>
      </c>
      <c r="BK65" s="589"/>
      <c r="BL65" s="195"/>
      <c r="BM65" s="195">
        <v>62839.31</v>
      </c>
      <c r="BN65" s="169">
        <f t="shared" si="23"/>
        <v>99850.54</v>
      </c>
      <c r="BO65" s="28"/>
    </row>
    <row r="66" spans="1:67" s="71" customFormat="1" ht="15" customHeight="1" x14ac:dyDescent="0.25">
      <c r="A66" s="605">
        <v>17</v>
      </c>
      <c r="B66" s="132"/>
      <c r="C66" s="35" t="s">
        <v>28</v>
      </c>
      <c r="D66" s="13">
        <v>1987</v>
      </c>
      <c r="E66" s="29">
        <v>3</v>
      </c>
      <c r="F66" s="572">
        <v>27</v>
      </c>
      <c r="G66" s="575">
        <v>72</v>
      </c>
      <c r="H66" s="578">
        <v>1466.1</v>
      </c>
      <c r="I66" s="395"/>
      <c r="J66" s="395"/>
      <c r="K66" s="395"/>
      <c r="L66" s="395"/>
      <c r="M66" s="395"/>
      <c r="N66" s="395"/>
      <c r="O66" s="395"/>
      <c r="P66" s="395"/>
      <c r="Q66" s="395"/>
      <c r="R66" s="395"/>
      <c r="S66" s="395"/>
      <c r="T66" s="395"/>
      <c r="U66" s="395"/>
      <c r="V66" s="395"/>
      <c r="W66" s="395"/>
      <c r="X66" s="395"/>
      <c r="Y66" s="555"/>
      <c r="Z66" s="556"/>
      <c r="AA66" s="557"/>
      <c r="AB66" s="557"/>
      <c r="AC66" s="566">
        <v>25338.39</v>
      </c>
      <c r="AD66" s="566">
        <v>29162.07</v>
      </c>
      <c r="AE66" s="566">
        <f t="shared" si="17"/>
        <v>43437.24</v>
      </c>
      <c r="AF66" s="566"/>
      <c r="AG66" s="566">
        <f t="shared" si="18"/>
        <v>18098.849999999999</v>
      </c>
      <c r="AH66" s="566">
        <f t="shared" si="19"/>
        <v>17717.901631333865</v>
      </c>
      <c r="AI66" s="581">
        <f t="shared" si="20"/>
        <v>43437.24</v>
      </c>
      <c r="AJ66" s="581">
        <f t="shared" si="21"/>
        <v>46879.971631333865</v>
      </c>
      <c r="AK66" s="706">
        <f t="shared" si="16"/>
        <v>99419.1</v>
      </c>
      <c r="AL66" s="589">
        <v>17600</v>
      </c>
      <c r="AM66" s="589">
        <v>15706.68</v>
      </c>
      <c r="AN66" s="589"/>
      <c r="AO66" s="589"/>
      <c r="AP66" s="589"/>
      <c r="AQ66" s="589"/>
      <c r="AR66" s="589"/>
      <c r="AS66" s="589"/>
      <c r="AT66" s="589"/>
      <c r="AU66" s="589"/>
      <c r="AV66" s="589"/>
      <c r="AW66" s="589"/>
      <c r="AX66" s="589"/>
      <c r="AY66" s="590"/>
      <c r="AZ66" s="590"/>
      <c r="BA66" s="589"/>
      <c r="BB66" s="589"/>
      <c r="BC66" s="589"/>
      <c r="BD66" s="589">
        <v>1255.42</v>
      </c>
      <c r="BE66" s="589"/>
      <c r="BF66" s="589">
        <v>64857</v>
      </c>
      <c r="BG66" s="597">
        <f t="shared" si="22"/>
        <v>-55981.860000000008</v>
      </c>
      <c r="BH66" s="132"/>
      <c r="BI66" s="589">
        <v>3155.42</v>
      </c>
      <c r="BJ66" s="589">
        <v>17600</v>
      </c>
      <c r="BK66" s="589">
        <v>10684.68</v>
      </c>
      <c r="BL66" s="195">
        <v>3122</v>
      </c>
      <c r="BM66" s="195"/>
      <c r="BN66" s="169">
        <f t="shared" si="23"/>
        <v>34562.1</v>
      </c>
      <c r="BO66" s="28"/>
    </row>
    <row r="67" spans="1:67" s="71" customFormat="1" ht="15" customHeight="1" x14ac:dyDescent="0.25">
      <c r="A67" s="605">
        <v>18</v>
      </c>
      <c r="B67" s="132"/>
      <c r="C67" s="35" t="s">
        <v>29</v>
      </c>
      <c r="D67" s="13">
        <v>1989</v>
      </c>
      <c r="E67" s="29">
        <v>3</v>
      </c>
      <c r="F67" s="572">
        <v>27</v>
      </c>
      <c r="G67" s="574">
        <v>78</v>
      </c>
      <c r="H67" s="578">
        <v>1468.1</v>
      </c>
      <c r="I67" s="395"/>
      <c r="J67" s="395"/>
      <c r="K67" s="395"/>
      <c r="L67" s="395"/>
      <c r="M67" s="395"/>
      <c r="N67" s="395"/>
      <c r="O67" s="395"/>
      <c r="P67" s="395"/>
      <c r="Q67" s="395"/>
      <c r="R67" s="395"/>
      <c r="S67" s="395"/>
      <c r="T67" s="395"/>
      <c r="U67" s="395"/>
      <c r="V67" s="395"/>
      <c r="W67" s="395"/>
      <c r="X67" s="395"/>
      <c r="Y67" s="555"/>
      <c r="Z67" s="556"/>
      <c r="AA67" s="557"/>
      <c r="AB67" s="557"/>
      <c r="AC67" s="566">
        <v>26015.53</v>
      </c>
      <c r="AD67" s="566">
        <v>30657.39</v>
      </c>
      <c r="AE67" s="566">
        <f t="shared" si="17"/>
        <v>44598.051428571431</v>
      </c>
      <c r="AF67" s="566"/>
      <c r="AG67" s="566">
        <f t="shared" si="18"/>
        <v>18582.521428571432</v>
      </c>
      <c r="AH67" s="566">
        <f t="shared" si="19"/>
        <v>18360.1250567651</v>
      </c>
      <c r="AI67" s="581">
        <f t="shared" si="20"/>
        <v>44598.051428571431</v>
      </c>
      <c r="AJ67" s="581">
        <f t="shared" si="21"/>
        <v>49017.5150567651</v>
      </c>
      <c r="AK67" s="706">
        <f t="shared" si="16"/>
        <v>0</v>
      </c>
      <c r="AL67" s="589"/>
      <c r="AM67" s="589"/>
      <c r="AN67" s="589"/>
      <c r="AO67" s="589"/>
      <c r="AP67" s="589"/>
      <c r="AQ67" s="589"/>
      <c r="AR67" s="589"/>
      <c r="AS67" s="589"/>
      <c r="AT67" s="589"/>
      <c r="AU67" s="589"/>
      <c r="AV67" s="589"/>
      <c r="AW67" s="589"/>
      <c r="AX67" s="589"/>
      <c r="AY67" s="590"/>
      <c r="AZ67" s="590"/>
      <c r="BA67" s="589"/>
      <c r="BB67" s="589"/>
      <c r="BC67" s="589"/>
      <c r="BD67" s="589"/>
      <c r="BE67" s="589"/>
      <c r="BF67" s="589"/>
      <c r="BG67" s="597">
        <f t="shared" si="22"/>
        <v>44598.051428571431</v>
      </c>
      <c r="BH67" s="132"/>
      <c r="BI67" s="589"/>
      <c r="BJ67" s="589"/>
      <c r="BK67" s="589"/>
      <c r="BL67" s="195"/>
      <c r="BM67" s="195"/>
      <c r="BN67" s="169">
        <f t="shared" si="23"/>
        <v>0</v>
      </c>
      <c r="BO67" s="28"/>
    </row>
    <row r="68" spans="1:67" s="71" customFormat="1" ht="15" customHeight="1" x14ac:dyDescent="0.25">
      <c r="A68" s="13">
        <v>19</v>
      </c>
      <c r="B68" s="199"/>
      <c r="C68" s="35" t="s">
        <v>160</v>
      </c>
      <c r="D68" s="13">
        <v>1961</v>
      </c>
      <c r="E68" s="572">
        <v>1</v>
      </c>
      <c r="F68" s="572">
        <v>5</v>
      </c>
      <c r="G68" s="572">
        <v>11</v>
      </c>
      <c r="H68" s="70">
        <v>180.6</v>
      </c>
      <c r="I68" s="606"/>
      <c r="J68" s="607"/>
      <c r="K68" s="395"/>
      <c r="L68" s="395"/>
      <c r="M68" s="395"/>
      <c r="N68" s="395"/>
      <c r="O68" s="395"/>
      <c r="P68" s="395"/>
      <c r="Q68" s="395"/>
      <c r="R68" s="395"/>
      <c r="S68" s="395"/>
      <c r="T68" s="395"/>
      <c r="U68" s="395"/>
      <c r="V68" s="395"/>
      <c r="W68" s="395"/>
      <c r="X68" s="395"/>
      <c r="Y68" s="555"/>
      <c r="Z68" s="556"/>
      <c r="AA68" s="557"/>
      <c r="AB68" s="557"/>
      <c r="AC68" s="566"/>
      <c r="AD68" s="566"/>
      <c r="AE68" s="566">
        <f t="shared" si="17"/>
        <v>0</v>
      </c>
      <c r="AF68" s="566"/>
      <c r="AG68" s="566">
        <f t="shared" si="18"/>
        <v>0</v>
      </c>
      <c r="AH68" s="566">
        <f t="shared" si="19"/>
        <v>0</v>
      </c>
      <c r="AI68" s="581">
        <f t="shared" si="20"/>
        <v>0</v>
      </c>
      <c r="AJ68" s="581">
        <f t="shared" si="21"/>
        <v>0</v>
      </c>
      <c r="AK68" s="706">
        <f t="shared" si="16"/>
        <v>0</v>
      </c>
      <c r="AL68" s="589"/>
      <c r="AM68" s="589"/>
      <c r="AN68" s="589"/>
      <c r="AO68" s="589"/>
      <c r="AP68" s="589"/>
      <c r="AQ68" s="589"/>
      <c r="AR68" s="589"/>
      <c r="AS68" s="589"/>
      <c r="AT68" s="589"/>
      <c r="AU68" s="589"/>
      <c r="AV68" s="589"/>
      <c r="AW68" s="589"/>
      <c r="AX68" s="589"/>
      <c r="AY68" s="590"/>
      <c r="AZ68" s="590"/>
      <c r="BA68" s="589"/>
      <c r="BB68" s="589"/>
      <c r="BC68" s="589"/>
      <c r="BD68" s="589"/>
      <c r="BE68" s="589"/>
      <c r="BF68" s="589"/>
      <c r="BG68" s="597">
        <f t="shared" si="22"/>
        <v>0</v>
      </c>
      <c r="BH68" s="132"/>
      <c r="BI68" s="589"/>
      <c r="BJ68" s="589"/>
      <c r="BK68" s="589"/>
      <c r="BL68" s="195"/>
      <c r="BM68" s="195"/>
      <c r="BN68" s="169"/>
      <c r="BO68" s="28"/>
    </row>
    <row r="69" spans="1:67" s="71" customFormat="1" ht="15" customHeight="1" x14ac:dyDescent="0.25">
      <c r="A69" s="13">
        <v>20</v>
      </c>
      <c r="B69" s="199"/>
      <c r="C69" s="35" t="s">
        <v>30</v>
      </c>
      <c r="D69" s="13">
        <v>1958</v>
      </c>
      <c r="E69" s="572">
        <v>1</v>
      </c>
      <c r="F69" s="572">
        <v>2</v>
      </c>
      <c r="G69" s="572">
        <v>1</v>
      </c>
      <c r="H69" s="70">
        <v>82.9</v>
      </c>
      <c r="I69" s="606"/>
      <c r="J69" s="607"/>
      <c r="K69" s="395"/>
      <c r="L69" s="395"/>
      <c r="M69" s="395"/>
      <c r="N69" s="395"/>
      <c r="O69" s="395"/>
      <c r="P69" s="395"/>
      <c r="Q69" s="395"/>
      <c r="R69" s="395"/>
      <c r="S69" s="395"/>
      <c r="T69" s="395"/>
      <c r="U69" s="395"/>
      <c r="V69" s="395"/>
      <c r="W69" s="395"/>
      <c r="X69" s="395"/>
      <c r="Y69" s="555"/>
      <c r="Z69" s="556"/>
      <c r="AA69" s="557"/>
      <c r="AB69" s="557"/>
      <c r="AC69" s="566"/>
      <c r="AD69" s="566"/>
      <c r="AE69" s="566">
        <f t="shared" si="17"/>
        <v>0</v>
      </c>
      <c r="AF69" s="566"/>
      <c r="AG69" s="566">
        <f t="shared" si="18"/>
        <v>0</v>
      </c>
      <c r="AH69" s="566">
        <f t="shared" si="19"/>
        <v>0</v>
      </c>
      <c r="AI69" s="581">
        <f t="shared" si="20"/>
        <v>0</v>
      </c>
      <c r="AJ69" s="581">
        <f t="shared" si="21"/>
        <v>0</v>
      </c>
      <c r="AK69" s="706">
        <f t="shared" si="16"/>
        <v>0</v>
      </c>
      <c r="AL69" s="589"/>
      <c r="AM69" s="589"/>
      <c r="AN69" s="589"/>
      <c r="AO69" s="589"/>
      <c r="AP69" s="589"/>
      <c r="AQ69" s="589"/>
      <c r="AR69" s="589"/>
      <c r="AS69" s="589"/>
      <c r="AT69" s="589"/>
      <c r="AU69" s="589"/>
      <c r="AV69" s="589"/>
      <c r="AW69" s="589"/>
      <c r="AX69" s="589"/>
      <c r="AY69" s="590"/>
      <c r="AZ69" s="590"/>
      <c r="BA69" s="589"/>
      <c r="BB69" s="589"/>
      <c r="BC69" s="589"/>
      <c r="BD69" s="589"/>
      <c r="BE69" s="589"/>
      <c r="BF69" s="589"/>
      <c r="BG69" s="597">
        <f t="shared" si="22"/>
        <v>0</v>
      </c>
      <c r="BH69" s="132"/>
      <c r="BI69" s="589"/>
      <c r="BJ69" s="589"/>
      <c r="BK69" s="589"/>
      <c r="BL69" s="195"/>
      <c r="BM69" s="195"/>
      <c r="BN69" s="169"/>
      <c r="BO69" s="28"/>
    </row>
    <row r="70" spans="1:67" s="71" customFormat="1" ht="15" customHeight="1" x14ac:dyDescent="0.25">
      <c r="A70" s="13">
        <v>21</v>
      </c>
      <c r="B70" s="200">
        <v>42461</v>
      </c>
      <c r="C70" s="35" t="s">
        <v>31</v>
      </c>
      <c r="D70" s="13">
        <v>1962</v>
      </c>
      <c r="E70" s="572">
        <v>1</v>
      </c>
      <c r="F70" s="572">
        <v>2</v>
      </c>
      <c r="G70" s="572">
        <v>8</v>
      </c>
      <c r="H70" s="70">
        <v>79.400000000000006</v>
      </c>
      <c r="I70" s="606"/>
      <c r="J70" s="607"/>
      <c r="K70" s="395"/>
      <c r="L70" s="395"/>
      <c r="M70" s="395"/>
      <c r="N70" s="395"/>
      <c r="O70" s="395"/>
      <c r="P70" s="395"/>
      <c r="Q70" s="395"/>
      <c r="R70" s="395"/>
      <c r="S70" s="395"/>
      <c r="T70" s="395"/>
      <c r="U70" s="395"/>
      <c r="V70" s="395"/>
      <c r="W70" s="395"/>
      <c r="X70" s="395"/>
      <c r="Y70" s="555"/>
      <c r="Z70" s="556"/>
      <c r="AA70" s="557"/>
      <c r="AB70" s="557"/>
      <c r="AC70" s="566"/>
      <c r="AD70" s="566"/>
      <c r="AE70" s="566">
        <f t="shared" si="17"/>
        <v>0</v>
      </c>
      <c r="AF70" s="566"/>
      <c r="AG70" s="566">
        <f t="shared" si="18"/>
        <v>0</v>
      </c>
      <c r="AH70" s="566">
        <f t="shared" si="19"/>
        <v>0</v>
      </c>
      <c r="AI70" s="581">
        <f t="shared" si="20"/>
        <v>0</v>
      </c>
      <c r="AJ70" s="581">
        <f t="shared" si="21"/>
        <v>0</v>
      </c>
      <c r="AK70" s="706">
        <f t="shared" si="16"/>
        <v>0</v>
      </c>
      <c r="AL70" s="589"/>
      <c r="AM70" s="589"/>
      <c r="AN70" s="589"/>
      <c r="AO70" s="589"/>
      <c r="AP70" s="589"/>
      <c r="AQ70" s="589"/>
      <c r="AR70" s="589"/>
      <c r="AS70" s="589"/>
      <c r="AT70" s="589"/>
      <c r="AU70" s="589"/>
      <c r="AV70" s="589"/>
      <c r="AW70" s="589"/>
      <c r="AX70" s="589"/>
      <c r="AY70" s="590"/>
      <c r="AZ70" s="590"/>
      <c r="BA70" s="589"/>
      <c r="BB70" s="589"/>
      <c r="BC70" s="589"/>
      <c r="BD70" s="589"/>
      <c r="BE70" s="589"/>
      <c r="BF70" s="589"/>
      <c r="BG70" s="597">
        <f t="shared" si="22"/>
        <v>0</v>
      </c>
      <c r="BH70" s="132"/>
      <c r="BI70" s="589"/>
      <c r="BJ70" s="589"/>
      <c r="BK70" s="589"/>
      <c r="BL70" s="195"/>
      <c r="BM70" s="195"/>
      <c r="BN70" s="169"/>
      <c r="BO70" s="28"/>
    </row>
    <row r="71" spans="1:67" s="71" customFormat="1" ht="15" customHeight="1" x14ac:dyDescent="0.25">
      <c r="A71" s="13">
        <v>22</v>
      </c>
      <c r="B71" s="200">
        <v>42461</v>
      </c>
      <c r="C71" s="35" t="s">
        <v>32</v>
      </c>
      <c r="D71" s="13">
        <v>1955</v>
      </c>
      <c r="E71" s="572">
        <v>1</v>
      </c>
      <c r="F71" s="572">
        <v>4</v>
      </c>
      <c r="G71" s="572">
        <v>6</v>
      </c>
      <c r="H71" s="70">
        <v>121.87</v>
      </c>
      <c r="I71" s="606"/>
      <c r="J71" s="607"/>
      <c r="K71" s="395"/>
      <c r="L71" s="395"/>
      <c r="M71" s="395"/>
      <c r="N71" s="395"/>
      <c r="O71" s="395"/>
      <c r="P71" s="395"/>
      <c r="Q71" s="395"/>
      <c r="R71" s="395"/>
      <c r="S71" s="395"/>
      <c r="T71" s="395"/>
      <c r="U71" s="395"/>
      <c r="V71" s="395"/>
      <c r="W71" s="395"/>
      <c r="X71" s="395"/>
      <c r="Y71" s="555"/>
      <c r="Z71" s="556"/>
      <c r="AA71" s="557"/>
      <c r="AB71" s="557"/>
      <c r="AC71" s="566"/>
      <c r="AD71" s="566"/>
      <c r="AE71" s="566">
        <f t="shared" si="17"/>
        <v>0</v>
      </c>
      <c r="AF71" s="566"/>
      <c r="AG71" s="566">
        <f t="shared" si="18"/>
        <v>0</v>
      </c>
      <c r="AH71" s="566">
        <f t="shared" si="19"/>
        <v>0</v>
      </c>
      <c r="AI71" s="581">
        <f t="shared" si="20"/>
        <v>0</v>
      </c>
      <c r="AJ71" s="581">
        <f t="shared" si="21"/>
        <v>0</v>
      </c>
      <c r="AK71" s="706">
        <f t="shared" si="16"/>
        <v>0</v>
      </c>
      <c r="AL71" s="589"/>
      <c r="AM71" s="589"/>
      <c r="AN71" s="589"/>
      <c r="AO71" s="589"/>
      <c r="AP71" s="589"/>
      <c r="AQ71" s="589"/>
      <c r="AR71" s="589"/>
      <c r="AS71" s="589"/>
      <c r="AT71" s="589"/>
      <c r="AU71" s="589"/>
      <c r="AV71" s="589"/>
      <c r="AW71" s="589"/>
      <c r="AX71" s="589"/>
      <c r="AY71" s="590"/>
      <c r="AZ71" s="590"/>
      <c r="BA71" s="589"/>
      <c r="BB71" s="589"/>
      <c r="BC71" s="589"/>
      <c r="BD71" s="589"/>
      <c r="BE71" s="589"/>
      <c r="BF71" s="589"/>
      <c r="BG71" s="597">
        <f t="shared" si="22"/>
        <v>0</v>
      </c>
      <c r="BH71" s="132"/>
      <c r="BI71" s="589"/>
      <c r="BJ71" s="589"/>
      <c r="BK71" s="589"/>
      <c r="BL71" s="195"/>
      <c r="BM71" s="195"/>
      <c r="BN71" s="169"/>
      <c r="BO71" s="28"/>
    </row>
    <row r="72" spans="1:67" s="71" customFormat="1" ht="15" customHeight="1" x14ac:dyDescent="0.25">
      <c r="A72" s="13">
        <v>23</v>
      </c>
      <c r="B72" s="199"/>
      <c r="C72" s="35" t="s">
        <v>33</v>
      </c>
      <c r="D72" s="13">
        <v>1976</v>
      </c>
      <c r="E72" s="572">
        <v>2</v>
      </c>
      <c r="F72" s="572">
        <v>4</v>
      </c>
      <c r="G72" s="572">
        <v>22</v>
      </c>
      <c r="H72" s="70">
        <v>266.82</v>
      </c>
      <c r="I72" s="606"/>
      <c r="J72" s="607"/>
      <c r="K72" s="395"/>
      <c r="L72" s="395"/>
      <c r="M72" s="395"/>
      <c r="N72" s="395"/>
      <c r="O72" s="395"/>
      <c r="P72" s="395"/>
      <c r="Q72" s="395"/>
      <c r="R72" s="395"/>
      <c r="S72" s="395"/>
      <c r="T72" s="395"/>
      <c r="U72" s="395"/>
      <c r="V72" s="395"/>
      <c r="W72" s="395"/>
      <c r="X72" s="395"/>
      <c r="Y72" s="555"/>
      <c r="Z72" s="556"/>
      <c r="AA72" s="557"/>
      <c r="AB72" s="557"/>
      <c r="AC72" s="566">
        <v>2641.54</v>
      </c>
      <c r="AD72" s="566">
        <v>2664.02</v>
      </c>
      <c r="AE72" s="566">
        <f t="shared" si="17"/>
        <v>4528.3542857142857</v>
      </c>
      <c r="AF72" s="566"/>
      <c r="AG72" s="566">
        <f t="shared" si="18"/>
        <v>1886.8142857142857</v>
      </c>
      <c r="AH72" s="566">
        <f t="shared" si="19"/>
        <v>2111.9451478962474</v>
      </c>
      <c r="AI72" s="581">
        <f t="shared" si="20"/>
        <v>4528.3542857142857</v>
      </c>
      <c r="AJ72" s="581">
        <f t="shared" si="21"/>
        <v>4775.9651478962478</v>
      </c>
      <c r="AK72" s="706">
        <f t="shared" si="16"/>
        <v>0</v>
      </c>
      <c r="AL72" s="589"/>
      <c r="AM72" s="589"/>
      <c r="AN72" s="589"/>
      <c r="AO72" s="589"/>
      <c r="AP72" s="589"/>
      <c r="AQ72" s="589"/>
      <c r="AR72" s="589"/>
      <c r="AS72" s="589"/>
      <c r="AT72" s="589"/>
      <c r="AU72" s="589"/>
      <c r="AV72" s="589"/>
      <c r="AW72" s="589"/>
      <c r="AX72" s="589"/>
      <c r="AY72" s="590"/>
      <c r="AZ72" s="590"/>
      <c r="BA72" s="589"/>
      <c r="BB72" s="589"/>
      <c r="BC72" s="589"/>
      <c r="BD72" s="589"/>
      <c r="BE72" s="589"/>
      <c r="BF72" s="589"/>
      <c r="BG72" s="597">
        <f t="shared" si="22"/>
        <v>4528.3542857142857</v>
      </c>
      <c r="BH72" s="132"/>
      <c r="BI72" s="589"/>
      <c r="BJ72" s="589"/>
      <c r="BK72" s="589"/>
      <c r="BL72" s="195"/>
      <c r="BM72" s="195"/>
      <c r="BN72" s="169"/>
      <c r="BO72" s="28"/>
    </row>
    <row r="73" spans="1:67" s="71" customFormat="1" ht="15" customHeight="1" x14ac:dyDescent="0.25">
      <c r="A73" s="605">
        <v>25</v>
      </c>
      <c r="B73" s="132"/>
      <c r="C73" s="35" t="s">
        <v>34</v>
      </c>
      <c r="D73" s="13">
        <v>1976</v>
      </c>
      <c r="E73" s="29">
        <v>2</v>
      </c>
      <c r="F73" s="572">
        <v>4</v>
      </c>
      <c r="G73" s="572">
        <v>12</v>
      </c>
      <c r="H73" s="578">
        <v>266.56</v>
      </c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  <c r="X73" s="395"/>
      <c r="Y73" s="555"/>
      <c r="Z73" s="556"/>
      <c r="AA73" s="557"/>
      <c r="AB73" s="557"/>
      <c r="AC73" s="566">
        <v>1679.37</v>
      </c>
      <c r="AD73" s="566">
        <v>1884.05</v>
      </c>
      <c r="AE73" s="566">
        <f t="shared" si="17"/>
        <v>2878.92</v>
      </c>
      <c r="AF73" s="566"/>
      <c r="AG73" s="566">
        <f t="shared" si="18"/>
        <v>1199.5500000000002</v>
      </c>
      <c r="AH73" s="566">
        <f t="shared" si="19"/>
        <v>1173.2725059987242</v>
      </c>
      <c r="AI73" s="581">
        <f t="shared" si="20"/>
        <v>2878.92</v>
      </c>
      <c r="AJ73" s="581">
        <f t="shared" si="21"/>
        <v>3057.3225059987244</v>
      </c>
      <c r="AK73" s="706">
        <f t="shared" si="16"/>
        <v>0</v>
      </c>
      <c r="AL73" s="589"/>
      <c r="AM73" s="589"/>
      <c r="AN73" s="589"/>
      <c r="AO73" s="589"/>
      <c r="AP73" s="589"/>
      <c r="AQ73" s="589"/>
      <c r="AR73" s="589"/>
      <c r="AS73" s="589"/>
      <c r="AT73" s="589"/>
      <c r="AU73" s="589"/>
      <c r="AV73" s="589"/>
      <c r="AW73" s="589"/>
      <c r="AX73" s="589"/>
      <c r="AY73" s="590"/>
      <c r="AZ73" s="590"/>
      <c r="BA73" s="589"/>
      <c r="BB73" s="589"/>
      <c r="BC73" s="589"/>
      <c r="BD73" s="589"/>
      <c r="BE73" s="589"/>
      <c r="BF73" s="589"/>
      <c r="BG73" s="597">
        <f t="shared" si="22"/>
        <v>2878.92</v>
      </c>
      <c r="BH73" s="132"/>
      <c r="BI73" s="589"/>
      <c r="BJ73" s="589"/>
      <c r="BK73" s="589"/>
      <c r="BL73" s="195"/>
      <c r="BM73" s="195"/>
      <c r="BN73" s="169">
        <f t="shared" si="23"/>
        <v>0</v>
      </c>
      <c r="BO73" s="28"/>
    </row>
    <row r="74" spans="1:67" s="71" customFormat="1" ht="15" customHeight="1" x14ac:dyDescent="0.25">
      <c r="A74" s="605">
        <v>26</v>
      </c>
      <c r="B74" s="132"/>
      <c r="C74" s="35" t="s">
        <v>35</v>
      </c>
      <c r="D74" s="13">
        <v>1958</v>
      </c>
      <c r="E74" s="572">
        <v>1</v>
      </c>
      <c r="F74" s="572">
        <v>2</v>
      </c>
      <c r="G74" s="572">
        <v>2</v>
      </c>
      <c r="H74" s="70">
        <v>68.42</v>
      </c>
      <c r="I74" s="395"/>
      <c r="J74" s="395"/>
      <c r="K74" s="395"/>
      <c r="L74" s="395"/>
      <c r="M74" s="395"/>
      <c r="N74" s="395"/>
      <c r="O74" s="395"/>
      <c r="P74" s="395"/>
      <c r="Q74" s="395"/>
      <c r="R74" s="395"/>
      <c r="S74" s="395"/>
      <c r="T74" s="395"/>
      <c r="U74" s="395"/>
      <c r="V74" s="395"/>
      <c r="W74" s="395"/>
      <c r="X74" s="395"/>
      <c r="Y74" s="555"/>
      <c r="Z74" s="556"/>
      <c r="AA74" s="557"/>
      <c r="AB74" s="557"/>
      <c r="AC74" s="566"/>
      <c r="AD74" s="566"/>
      <c r="AE74" s="566">
        <f t="shared" si="17"/>
        <v>0</v>
      </c>
      <c r="AF74" s="566"/>
      <c r="AG74" s="566">
        <f t="shared" si="18"/>
        <v>0</v>
      </c>
      <c r="AH74" s="566">
        <f t="shared" si="19"/>
        <v>0</v>
      </c>
      <c r="AI74" s="581">
        <f t="shared" si="20"/>
        <v>0</v>
      </c>
      <c r="AJ74" s="581">
        <f t="shared" si="21"/>
        <v>0</v>
      </c>
      <c r="AK74" s="706">
        <f t="shared" si="16"/>
        <v>0</v>
      </c>
      <c r="AL74" s="589"/>
      <c r="AM74" s="589"/>
      <c r="AN74" s="589"/>
      <c r="AO74" s="589"/>
      <c r="AP74" s="589"/>
      <c r="AQ74" s="589"/>
      <c r="AR74" s="589"/>
      <c r="AS74" s="589"/>
      <c r="AT74" s="589"/>
      <c r="AU74" s="589"/>
      <c r="AV74" s="589"/>
      <c r="AW74" s="589"/>
      <c r="AX74" s="589"/>
      <c r="AY74" s="590"/>
      <c r="AZ74" s="590"/>
      <c r="BA74" s="589"/>
      <c r="BB74" s="589"/>
      <c r="BC74" s="589"/>
      <c r="BD74" s="589"/>
      <c r="BE74" s="589"/>
      <c r="BF74" s="589"/>
      <c r="BG74" s="597">
        <f t="shared" si="22"/>
        <v>0</v>
      </c>
      <c r="BH74" s="132"/>
      <c r="BI74" s="589"/>
      <c r="BJ74" s="589"/>
      <c r="BK74" s="589"/>
      <c r="BL74" s="195"/>
      <c r="BM74" s="195"/>
      <c r="BN74" s="169"/>
      <c r="BO74" s="28"/>
    </row>
    <row r="75" spans="1:67" s="71" customFormat="1" ht="15" customHeight="1" x14ac:dyDescent="0.25">
      <c r="A75" s="605">
        <v>27</v>
      </c>
      <c r="B75" s="132"/>
      <c r="C75" s="35" t="s">
        <v>36</v>
      </c>
      <c r="D75" s="13">
        <v>1970</v>
      </c>
      <c r="E75" s="29">
        <v>2</v>
      </c>
      <c r="F75" s="572">
        <v>9</v>
      </c>
      <c r="G75" s="572">
        <v>2</v>
      </c>
      <c r="H75" s="578">
        <v>393.8</v>
      </c>
      <c r="I75" s="395"/>
      <c r="J75" s="395"/>
      <c r="K75" s="395"/>
      <c r="L75" s="395"/>
      <c r="M75" s="395"/>
      <c r="N75" s="395"/>
      <c r="O75" s="395"/>
      <c r="P75" s="395"/>
      <c r="Q75" s="395"/>
      <c r="R75" s="395"/>
      <c r="S75" s="395"/>
      <c r="T75" s="395"/>
      <c r="U75" s="395"/>
      <c r="V75" s="395"/>
      <c r="W75" s="395"/>
      <c r="X75" s="395"/>
      <c r="Y75" s="555"/>
      <c r="Z75" s="556"/>
      <c r="AA75" s="557"/>
      <c r="AB75" s="557"/>
      <c r="AC75" s="566">
        <v>15077.3</v>
      </c>
      <c r="AD75" s="566">
        <v>12646.72</v>
      </c>
      <c r="AE75" s="566">
        <f t="shared" si="17"/>
        <v>25846.800000000003</v>
      </c>
      <c r="AF75" s="566"/>
      <c r="AG75" s="566">
        <f t="shared" si="18"/>
        <v>10769.500000000004</v>
      </c>
      <c r="AH75" s="566">
        <f t="shared" si="19"/>
        <v>6711.5321039627215</v>
      </c>
      <c r="AI75" s="581">
        <f t="shared" si="20"/>
        <v>25846.800000000003</v>
      </c>
      <c r="AJ75" s="581">
        <f t="shared" si="21"/>
        <v>19358.252103962721</v>
      </c>
      <c r="AK75" s="706">
        <f t="shared" si="16"/>
        <v>0</v>
      </c>
      <c r="AL75" s="589"/>
      <c r="AM75" s="589"/>
      <c r="AN75" s="589"/>
      <c r="AO75" s="589"/>
      <c r="AP75" s="589"/>
      <c r="AQ75" s="589"/>
      <c r="AR75" s="589"/>
      <c r="AS75" s="589"/>
      <c r="AT75" s="589"/>
      <c r="AU75" s="589"/>
      <c r="AV75" s="589"/>
      <c r="AW75" s="589"/>
      <c r="AX75" s="589"/>
      <c r="AY75" s="590"/>
      <c r="AZ75" s="590"/>
      <c r="BA75" s="589"/>
      <c r="BB75" s="589"/>
      <c r="BC75" s="589"/>
      <c r="BD75" s="589"/>
      <c r="BE75" s="589"/>
      <c r="BF75" s="589"/>
      <c r="BG75" s="597">
        <f t="shared" si="22"/>
        <v>25846.800000000003</v>
      </c>
      <c r="BH75" s="132"/>
      <c r="BI75" s="589"/>
      <c r="BJ75" s="589"/>
      <c r="BK75" s="589"/>
      <c r="BL75" s="195"/>
      <c r="BM75" s="195"/>
      <c r="BN75" s="169">
        <f t="shared" si="23"/>
        <v>0</v>
      </c>
      <c r="BO75" s="28"/>
    </row>
    <row r="76" spans="1:67" s="71" customFormat="1" ht="15" customHeight="1" x14ac:dyDescent="0.25">
      <c r="A76" s="605">
        <v>28</v>
      </c>
      <c r="B76" s="132"/>
      <c r="C76" s="35" t="s">
        <v>37</v>
      </c>
      <c r="D76" s="13">
        <v>1970</v>
      </c>
      <c r="E76" s="29">
        <v>2</v>
      </c>
      <c r="F76" s="572">
        <v>12</v>
      </c>
      <c r="G76" s="572">
        <v>25</v>
      </c>
      <c r="H76" s="578">
        <v>462.1</v>
      </c>
      <c r="I76" s="395"/>
      <c r="J76" s="395"/>
      <c r="K76" s="395"/>
      <c r="L76" s="395"/>
      <c r="M76" s="395"/>
      <c r="N76" s="395"/>
      <c r="O76" s="395"/>
      <c r="P76" s="395"/>
      <c r="Q76" s="395"/>
      <c r="R76" s="395"/>
      <c r="S76" s="395"/>
      <c r="T76" s="395"/>
      <c r="U76" s="395"/>
      <c r="V76" s="395"/>
      <c r="W76" s="395"/>
      <c r="X76" s="395"/>
      <c r="Y76" s="555"/>
      <c r="Z76" s="556"/>
      <c r="AA76" s="557"/>
      <c r="AB76" s="557"/>
      <c r="AC76" s="566">
        <v>35581.699999999997</v>
      </c>
      <c r="AD76" s="566">
        <v>29279.07</v>
      </c>
      <c r="AE76" s="566">
        <f t="shared" si="17"/>
        <v>60997.2</v>
      </c>
      <c r="AF76" s="566"/>
      <c r="AG76" s="566">
        <f t="shared" si="18"/>
        <v>25415.5</v>
      </c>
      <c r="AH76" s="566">
        <f t="shared" si="19"/>
        <v>21151.539147244526</v>
      </c>
      <c r="AI76" s="581">
        <f t="shared" si="20"/>
        <v>60997.2</v>
      </c>
      <c r="AJ76" s="581">
        <f t="shared" si="21"/>
        <v>50430.609147244526</v>
      </c>
      <c r="AK76" s="706">
        <f t="shared" si="16"/>
        <v>19534</v>
      </c>
      <c r="AL76" s="589"/>
      <c r="AM76" s="589"/>
      <c r="AN76" s="589">
        <v>19534</v>
      </c>
      <c r="AO76" s="589"/>
      <c r="AP76" s="589"/>
      <c r="AQ76" s="589"/>
      <c r="AR76" s="589"/>
      <c r="AS76" s="589"/>
      <c r="AT76" s="589"/>
      <c r="AU76" s="589"/>
      <c r="AV76" s="589"/>
      <c r="AW76" s="589"/>
      <c r="AX76" s="589"/>
      <c r="AY76" s="590"/>
      <c r="AZ76" s="590"/>
      <c r="BA76" s="589"/>
      <c r="BB76" s="589"/>
      <c r="BC76" s="589"/>
      <c r="BD76" s="589"/>
      <c r="BE76" s="589"/>
      <c r="BF76" s="589"/>
      <c r="BG76" s="597">
        <f t="shared" si="22"/>
        <v>41463.199999999997</v>
      </c>
      <c r="BH76" s="132"/>
      <c r="BI76" s="589">
        <v>19534.349999999999</v>
      </c>
      <c r="BJ76" s="589"/>
      <c r="BK76" s="589"/>
      <c r="BL76" s="195"/>
      <c r="BM76" s="195"/>
      <c r="BN76" s="169">
        <f t="shared" si="23"/>
        <v>19534.349999999999</v>
      </c>
      <c r="BO76" s="28"/>
    </row>
    <row r="77" spans="1:67" s="71" customFormat="1" ht="15" customHeight="1" x14ac:dyDescent="0.25">
      <c r="A77" s="13">
        <v>29</v>
      </c>
      <c r="B77" s="199"/>
      <c r="C77" s="35" t="s">
        <v>38</v>
      </c>
      <c r="D77" s="13">
        <v>1951</v>
      </c>
      <c r="E77" s="572">
        <v>1</v>
      </c>
      <c r="F77" s="572">
        <v>2</v>
      </c>
      <c r="G77" s="572">
        <v>5</v>
      </c>
      <c r="H77" s="70">
        <v>46.6</v>
      </c>
      <c r="I77" s="395"/>
      <c r="J77" s="395"/>
      <c r="K77" s="395"/>
      <c r="L77" s="395"/>
      <c r="M77" s="395"/>
      <c r="N77" s="395"/>
      <c r="O77" s="395"/>
      <c r="P77" s="395"/>
      <c r="Q77" s="395"/>
      <c r="R77" s="395"/>
      <c r="S77" s="395"/>
      <c r="T77" s="395"/>
      <c r="U77" s="395"/>
      <c r="V77" s="395"/>
      <c r="W77" s="395"/>
      <c r="X77" s="395"/>
      <c r="Y77" s="555"/>
      <c r="Z77" s="556"/>
      <c r="AA77" s="557"/>
      <c r="AB77" s="557"/>
      <c r="AC77" s="566"/>
      <c r="AD77" s="566"/>
      <c r="AE77" s="566">
        <f t="shared" si="17"/>
        <v>0</v>
      </c>
      <c r="AF77" s="566"/>
      <c r="AG77" s="566">
        <f t="shared" si="18"/>
        <v>0</v>
      </c>
      <c r="AH77" s="566">
        <f t="shared" si="19"/>
        <v>0</v>
      </c>
      <c r="AI77" s="581">
        <f t="shared" si="20"/>
        <v>0</v>
      </c>
      <c r="AJ77" s="581">
        <f t="shared" si="21"/>
        <v>0</v>
      </c>
      <c r="AK77" s="706">
        <f t="shared" si="16"/>
        <v>0</v>
      </c>
      <c r="AL77" s="589"/>
      <c r="AM77" s="589"/>
      <c r="AN77" s="589"/>
      <c r="AO77" s="589"/>
      <c r="AP77" s="589"/>
      <c r="AQ77" s="589"/>
      <c r="AR77" s="589"/>
      <c r="AS77" s="589"/>
      <c r="AT77" s="589"/>
      <c r="AU77" s="589"/>
      <c r="AV77" s="589"/>
      <c r="AW77" s="589"/>
      <c r="AX77" s="589"/>
      <c r="AY77" s="590"/>
      <c r="AZ77" s="590"/>
      <c r="BA77" s="589"/>
      <c r="BB77" s="589"/>
      <c r="BC77" s="589"/>
      <c r="BD77" s="589"/>
      <c r="BE77" s="589"/>
      <c r="BF77" s="589"/>
      <c r="BG77" s="597">
        <f t="shared" si="22"/>
        <v>0</v>
      </c>
      <c r="BH77" s="132"/>
      <c r="BI77" s="589"/>
      <c r="BJ77" s="589"/>
      <c r="BK77" s="589"/>
      <c r="BL77" s="195"/>
      <c r="BM77" s="195"/>
      <c r="BN77" s="169"/>
      <c r="BO77" s="28"/>
    </row>
    <row r="78" spans="1:67" s="71" customFormat="1" ht="15" customHeight="1" x14ac:dyDescent="0.25">
      <c r="A78" s="13">
        <v>30</v>
      </c>
      <c r="B78" s="199"/>
      <c r="C78" s="35" t="s">
        <v>161</v>
      </c>
      <c r="D78" s="13">
        <v>1955</v>
      </c>
      <c r="E78" s="572">
        <v>1</v>
      </c>
      <c r="F78" s="572">
        <v>2</v>
      </c>
      <c r="G78" s="572">
        <v>3</v>
      </c>
      <c r="H78" s="70">
        <v>76</v>
      </c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  <c r="X78" s="395"/>
      <c r="Y78" s="555"/>
      <c r="Z78" s="556"/>
      <c r="AA78" s="557"/>
      <c r="AB78" s="557"/>
      <c r="AC78" s="566"/>
      <c r="AD78" s="566"/>
      <c r="AE78" s="566">
        <f t="shared" si="17"/>
        <v>0</v>
      </c>
      <c r="AF78" s="566"/>
      <c r="AG78" s="566">
        <f t="shared" si="18"/>
        <v>0</v>
      </c>
      <c r="AH78" s="566">
        <f t="shared" si="19"/>
        <v>0</v>
      </c>
      <c r="AI78" s="581">
        <f t="shared" si="20"/>
        <v>0</v>
      </c>
      <c r="AJ78" s="581">
        <f t="shared" si="21"/>
        <v>0</v>
      </c>
      <c r="AK78" s="706">
        <f t="shared" si="16"/>
        <v>0</v>
      </c>
      <c r="AL78" s="589"/>
      <c r="AM78" s="589"/>
      <c r="AN78" s="589"/>
      <c r="AO78" s="589"/>
      <c r="AP78" s="589"/>
      <c r="AQ78" s="589"/>
      <c r="AR78" s="589"/>
      <c r="AS78" s="589"/>
      <c r="AT78" s="589"/>
      <c r="AU78" s="589"/>
      <c r="AV78" s="589"/>
      <c r="AW78" s="589"/>
      <c r="AX78" s="589"/>
      <c r="AY78" s="590"/>
      <c r="AZ78" s="590"/>
      <c r="BA78" s="589"/>
      <c r="BB78" s="589"/>
      <c r="BC78" s="589"/>
      <c r="BD78" s="589"/>
      <c r="BE78" s="589"/>
      <c r="BF78" s="589"/>
      <c r="BG78" s="597">
        <f t="shared" si="22"/>
        <v>0</v>
      </c>
      <c r="BH78" s="132"/>
      <c r="BI78" s="589"/>
      <c r="BJ78" s="589"/>
      <c r="BK78" s="589"/>
      <c r="BL78" s="195"/>
      <c r="BM78" s="195"/>
      <c r="BN78" s="169"/>
      <c r="BO78" s="28"/>
    </row>
    <row r="79" spans="1:67" s="71" customFormat="1" ht="15" customHeight="1" x14ac:dyDescent="0.25">
      <c r="A79" s="13">
        <v>31</v>
      </c>
      <c r="B79" s="199"/>
      <c r="C79" s="35" t="s">
        <v>162</v>
      </c>
      <c r="D79" s="13">
        <v>1955</v>
      </c>
      <c r="E79" s="572">
        <v>1</v>
      </c>
      <c r="F79" s="572">
        <v>2</v>
      </c>
      <c r="G79" s="572">
        <v>2</v>
      </c>
      <c r="H79" s="70">
        <v>86.1</v>
      </c>
      <c r="I79" s="395"/>
      <c r="J79" s="395"/>
      <c r="K79" s="395"/>
      <c r="L79" s="395"/>
      <c r="M79" s="395"/>
      <c r="N79" s="395"/>
      <c r="O79" s="395"/>
      <c r="P79" s="395"/>
      <c r="Q79" s="395"/>
      <c r="R79" s="395"/>
      <c r="S79" s="395"/>
      <c r="T79" s="395"/>
      <c r="U79" s="395"/>
      <c r="V79" s="395"/>
      <c r="W79" s="395"/>
      <c r="X79" s="395"/>
      <c r="Y79" s="555"/>
      <c r="Z79" s="556"/>
      <c r="AA79" s="557"/>
      <c r="AB79" s="557"/>
      <c r="AC79" s="566"/>
      <c r="AD79" s="566"/>
      <c r="AE79" s="566">
        <f t="shared" si="17"/>
        <v>0</v>
      </c>
      <c r="AF79" s="566"/>
      <c r="AG79" s="566">
        <f t="shared" si="18"/>
        <v>0</v>
      </c>
      <c r="AH79" s="566">
        <f t="shared" si="19"/>
        <v>0</v>
      </c>
      <c r="AI79" s="581">
        <f t="shared" si="20"/>
        <v>0</v>
      </c>
      <c r="AJ79" s="581">
        <f t="shared" si="21"/>
        <v>0</v>
      </c>
      <c r="AK79" s="706">
        <f t="shared" si="16"/>
        <v>0</v>
      </c>
      <c r="AL79" s="589"/>
      <c r="AM79" s="589"/>
      <c r="AN79" s="589"/>
      <c r="AO79" s="589"/>
      <c r="AP79" s="589"/>
      <c r="AQ79" s="589"/>
      <c r="AR79" s="589"/>
      <c r="AS79" s="589"/>
      <c r="AT79" s="589"/>
      <c r="AU79" s="589"/>
      <c r="AV79" s="589"/>
      <c r="AW79" s="589"/>
      <c r="AX79" s="589"/>
      <c r="AY79" s="590"/>
      <c r="AZ79" s="590"/>
      <c r="BA79" s="589"/>
      <c r="BB79" s="589"/>
      <c r="BC79" s="589"/>
      <c r="BD79" s="589"/>
      <c r="BE79" s="589"/>
      <c r="BF79" s="589"/>
      <c r="BG79" s="597">
        <f t="shared" si="22"/>
        <v>0</v>
      </c>
      <c r="BH79" s="132"/>
      <c r="BI79" s="589"/>
      <c r="BJ79" s="589"/>
      <c r="BK79" s="589"/>
      <c r="BL79" s="195"/>
      <c r="BM79" s="195"/>
      <c r="BN79" s="169"/>
      <c r="BO79" s="28"/>
    </row>
    <row r="80" spans="1:67" s="71" customFormat="1" ht="15.75" customHeight="1" x14ac:dyDescent="0.25">
      <c r="A80" s="605">
        <v>32</v>
      </c>
      <c r="B80" s="132"/>
      <c r="C80" s="35" t="s">
        <v>39</v>
      </c>
      <c r="D80" s="13">
        <v>1970</v>
      </c>
      <c r="E80" s="29">
        <v>2</v>
      </c>
      <c r="F80" s="572">
        <v>12</v>
      </c>
      <c r="G80" s="572">
        <v>30</v>
      </c>
      <c r="H80" s="578">
        <v>462.9</v>
      </c>
      <c r="I80" s="395"/>
      <c r="J80" s="395"/>
      <c r="K80" s="395"/>
      <c r="L80" s="395"/>
      <c r="M80" s="395"/>
      <c r="N80" s="395"/>
      <c r="O80" s="395"/>
      <c r="P80" s="395"/>
      <c r="Q80" s="395"/>
      <c r="R80" s="395"/>
      <c r="S80" s="395"/>
      <c r="T80" s="395"/>
      <c r="U80" s="395"/>
      <c r="V80" s="395"/>
      <c r="W80" s="395"/>
      <c r="X80" s="395"/>
      <c r="Y80" s="555"/>
      <c r="Z80" s="556"/>
      <c r="AA80" s="557"/>
      <c r="AB80" s="557"/>
      <c r="AC80" s="566">
        <v>34080.199999999997</v>
      </c>
      <c r="AD80" s="566">
        <v>28849.48</v>
      </c>
      <c r="AE80" s="566">
        <f t="shared" si="17"/>
        <v>58423.199999999997</v>
      </c>
      <c r="AF80" s="566"/>
      <c r="AG80" s="566">
        <f t="shared" si="18"/>
        <v>24343</v>
      </c>
      <c r="AH80" s="566">
        <f t="shared" si="19"/>
        <v>20300.762851198429</v>
      </c>
      <c r="AI80" s="581">
        <f t="shared" si="20"/>
        <v>58423.199999999997</v>
      </c>
      <c r="AJ80" s="581">
        <f t="shared" si="21"/>
        <v>49150.242851198433</v>
      </c>
      <c r="AK80" s="706">
        <f t="shared" si="16"/>
        <v>18723.14</v>
      </c>
      <c r="AL80" s="589"/>
      <c r="AM80" s="589"/>
      <c r="AN80" s="589"/>
      <c r="AO80" s="589">
        <v>18723.14</v>
      </c>
      <c r="AP80" s="589"/>
      <c r="AQ80" s="589"/>
      <c r="AR80" s="589"/>
      <c r="AS80" s="589"/>
      <c r="AT80" s="589"/>
      <c r="AU80" s="589"/>
      <c r="AV80" s="589"/>
      <c r="AW80" s="589"/>
      <c r="AX80" s="589"/>
      <c r="AY80" s="590"/>
      <c r="AZ80" s="590"/>
      <c r="BA80" s="589"/>
      <c r="BB80" s="589"/>
      <c r="BC80" s="589"/>
      <c r="BD80" s="589"/>
      <c r="BE80" s="589"/>
      <c r="BF80" s="589"/>
      <c r="BG80" s="597">
        <f t="shared" si="22"/>
        <v>39700.06</v>
      </c>
      <c r="BH80" s="132"/>
      <c r="BI80" s="589">
        <v>18723.14</v>
      </c>
      <c r="BJ80" s="589"/>
      <c r="BK80" s="589"/>
      <c r="BL80" s="597"/>
      <c r="BM80" s="597"/>
      <c r="BN80" s="169">
        <f t="shared" si="23"/>
        <v>18723.14</v>
      </c>
      <c r="BO80" s="28"/>
    </row>
    <row r="81" spans="1:585" s="71" customFormat="1" ht="15" customHeight="1" x14ac:dyDescent="0.25">
      <c r="A81" s="605">
        <v>33</v>
      </c>
      <c r="B81" s="132"/>
      <c r="C81" s="103" t="s">
        <v>40</v>
      </c>
      <c r="D81" s="98">
        <v>1971</v>
      </c>
      <c r="E81" s="98">
        <v>2</v>
      </c>
      <c r="F81" s="98">
        <v>11</v>
      </c>
      <c r="G81" s="98">
        <v>34</v>
      </c>
      <c r="H81" s="109">
        <v>464.6</v>
      </c>
      <c r="I81" s="56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1"/>
      <c r="Z81" s="562"/>
      <c r="AA81" s="557"/>
      <c r="AB81" s="557"/>
      <c r="AC81" s="566">
        <v>37519.300000000003</v>
      </c>
      <c r="AD81" s="566">
        <v>28964.959999999999</v>
      </c>
      <c r="AE81" s="566">
        <f t="shared" si="17"/>
        <v>64318.8</v>
      </c>
      <c r="AF81" s="566"/>
      <c r="AG81" s="566">
        <f t="shared" si="18"/>
        <v>26799.5</v>
      </c>
      <c r="AH81" s="566">
        <f t="shared" si="19"/>
        <v>20802.551013405187</v>
      </c>
      <c r="AI81" s="581">
        <f t="shared" si="20"/>
        <v>64318.8</v>
      </c>
      <c r="AJ81" s="581">
        <f t="shared" si="21"/>
        <v>49767.511013405187</v>
      </c>
      <c r="AK81" s="706">
        <f t="shared" si="16"/>
        <v>26383.95</v>
      </c>
      <c r="AL81" s="589"/>
      <c r="AM81" s="589"/>
      <c r="AN81" s="589"/>
      <c r="AO81" s="589">
        <v>26383.95</v>
      </c>
      <c r="AP81" s="589"/>
      <c r="AQ81" s="589"/>
      <c r="AR81" s="589"/>
      <c r="AS81" s="589"/>
      <c r="AT81" s="589"/>
      <c r="AU81" s="589"/>
      <c r="AV81" s="589"/>
      <c r="AW81" s="589"/>
      <c r="AX81" s="589"/>
      <c r="AY81" s="590"/>
      <c r="AZ81" s="590"/>
      <c r="BA81" s="589"/>
      <c r="BB81" s="589"/>
      <c r="BC81" s="589"/>
      <c r="BD81" s="589"/>
      <c r="BE81" s="589"/>
      <c r="BF81" s="589"/>
      <c r="BG81" s="597">
        <f t="shared" si="22"/>
        <v>37934.850000000006</v>
      </c>
      <c r="BH81" s="132"/>
      <c r="BI81" s="589">
        <v>26383.95</v>
      </c>
      <c r="BJ81" s="589"/>
      <c r="BK81" s="589"/>
      <c r="BL81" s="597"/>
      <c r="BM81" s="597"/>
      <c r="BN81" s="169">
        <f t="shared" si="23"/>
        <v>26383.95</v>
      </c>
      <c r="BO81" s="28"/>
    </row>
    <row r="82" spans="1:585" s="71" customFormat="1" ht="15.75" customHeight="1" x14ac:dyDescent="0.25">
      <c r="A82" s="605"/>
      <c r="B82" s="132"/>
      <c r="C82" s="430" t="s">
        <v>41</v>
      </c>
      <c r="D82" s="7"/>
      <c r="E82" s="7">
        <f>SUM(E50:E81)</f>
        <v>68</v>
      </c>
      <c r="F82" s="547">
        <f>SUM(F50:F81)</f>
        <v>543</v>
      </c>
      <c r="G82" s="547">
        <f>SUM(G50:G81)</f>
        <v>1407</v>
      </c>
      <c r="H82" s="548">
        <f>SUM(H50:H81)</f>
        <v>26213.249999999989</v>
      </c>
      <c r="I82" s="563">
        <f t="shared" ref="I82:N82" si="24">SUM(I49:I81)</f>
        <v>0</v>
      </c>
      <c r="J82" s="563">
        <f t="shared" si="24"/>
        <v>0</v>
      </c>
      <c r="K82" s="563">
        <f t="shared" si="24"/>
        <v>0</v>
      </c>
      <c r="L82" s="563">
        <f t="shared" si="24"/>
        <v>0</v>
      </c>
      <c r="M82" s="563">
        <f t="shared" si="24"/>
        <v>0</v>
      </c>
      <c r="N82" s="563">
        <f t="shared" si="24"/>
        <v>0</v>
      </c>
      <c r="O82" s="563"/>
      <c r="P82" s="563"/>
      <c r="Q82" s="563"/>
      <c r="R82" s="563"/>
      <c r="S82" s="563"/>
      <c r="T82" s="563"/>
      <c r="U82" s="563"/>
      <c r="V82" s="563"/>
      <c r="W82" s="563">
        <f>SUM(W49:W81)</f>
        <v>0</v>
      </c>
      <c r="X82" s="563">
        <f>SUM(X49:X81)</f>
        <v>0</v>
      </c>
      <c r="Y82" s="563">
        <f>SUM(Y49:Y81)</f>
        <v>0</v>
      </c>
      <c r="Z82" s="563">
        <f>SUM(Z49:Z81)</f>
        <v>0</v>
      </c>
      <c r="AA82" s="563"/>
      <c r="AB82" s="563"/>
      <c r="AC82" s="459">
        <f>SUM(AC50:AC81)</f>
        <v>597876.96999999986</v>
      </c>
      <c r="AD82" s="459">
        <f>SUM(AD50:AD81)</f>
        <v>638303.94999999984</v>
      </c>
      <c r="AE82" s="459">
        <f>SUM(AE50:AE81)</f>
        <v>1024931.9485714288</v>
      </c>
      <c r="AF82" s="459"/>
      <c r="AG82" s="459">
        <f t="shared" ref="AG82:BG82" si="25">SUM(AG50:AG81)</f>
        <v>427054.97857142863</v>
      </c>
      <c r="AH82" s="566">
        <f t="shared" si="19"/>
        <v>393810.98948202888</v>
      </c>
      <c r="AI82" s="582">
        <f t="shared" si="25"/>
        <v>1024931.9485714288</v>
      </c>
      <c r="AJ82" s="616">
        <f t="shared" si="21"/>
        <v>1032114.9394820287</v>
      </c>
      <c r="AK82" s="749">
        <f t="shared" si="25"/>
        <v>485043.48000000004</v>
      </c>
      <c r="AL82" s="459">
        <f t="shared" si="25"/>
        <v>41360</v>
      </c>
      <c r="AM82" s="459">
        <f t="shared" si="25"/>
        <v>39529.53</v>
      </c>
      <c r="AN82" s="459">
        <f t="shared" si="25"/>
        <v>19534</v>
      </c>
      <c r="AO82" s="459">
        <f t="shared" si="25"/>
        <v>51859.4</v>
      </c>
      <c r="AP82" s="459">
        <f t="shared" si="25"/>
        <v>136562</v>
      </c>
      <c r="AQ82" s="459">
        <f t="shared" si="25"/>
        <v>2871.3</v>
      </c>
      <c r="AR82" s="459">
        <f t="shared" si="25"/>
        <v>220.83</v>
      </c>
      <c r="AS82" s="459">
        <f t="shared" si="25"/>
        <v>1233.8399999999999</v>
      </c>
      <c r="AT82" s="459">
        <f t="shared" si="25"/>
        <v>8315.6200000000008</v>
      </c>
      <c r="AU82" s="459">
        <f t="shared" si="25"/>
        <v>10503.66</v>
      </c>
      <c r="AV82" s="459">
        <f t="shared" si="25"/>
        <v>1298</v>
      </c>
      <c r="AW82" s="459">
        <f t="shared" si="25"/>
        <v>1824.5</v>
      </c>
      <c r="AX82" s="459">
        <f t="shared" si="25"/>
        <v>16257.279999999999</v>
      </c>
      <c r="AY82" s="459">
        <f t="shared" si="25"/>
        <v>126.97</v>
      </c>
      <c r="AZ82" s="459">
        <f t="shared" si="25"/>
        <v>1624.66</v>
      </c>
      <c r="BA82" s="459">
        <f t="shared" si="25"/>
        <v>6399</v>
      </c>
      <c r="BB82" s="459">
        <f t="shared" si="25"/>
        <v>3132.49</v>
      </c>
      <c r="BC82" s="459">
        <f t="shared" si="25"/>
        <v>13438.67</v>
      </c>
      <c r="BD82" s="459">
        <f t="shared" si="25"/>
        <v>1255.42</v>
      </c>
      <c r="BE82" s="459">
        <f t="shared" si="25"/>
        <v>62839.31</v>
      </c>
      <c r="BF82" s="459">
        <f t="shared" si="25"/>
        <v>64857</v>
      </c>
      <c r="BG82" s="459">
        <f t="shared" si="25"/>
        <v>539888.46857142868</v>
      </c>
      <c r="BH82" s="132"/>
      <c r="BI82" s="597">
        <f t="shared" ref="BI82:BN82" si="26">SUM(BI50:BI81)</f>
        <v>179005.93</v>
      </c>
      <c r="BJ82" s="597">
        <f t="shared" si="26"/>
        <v>41360</v>
      </c>
      <c r="BK82" s="597">
        <f t="shared" si="26"/>
        <v>23141.88</v>
      </c>
      <c r="BL82" s="597">
        <f t="shared" si="26"/>
        <v>6765</v>
      </c>
      <c r="BM82" s="597">
        <f t="shared" si="26"/>
        <v>62839.31</v>
      </c>
      <c r="BN82" s="597">
        <f t="shared" si="26"/>
        <v>313112.12</v>
      </c>
      <c r="BO82" s="28"/>
    </row>
    <row r="83" spans="1:585" s="71" customFormat="1" ht="17.25" customHeight="1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 t="s">
        <v>128</v>
      </c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68"/>
      <c r="BM83" s="168"/>
      <c r="BN83" s="168"/>
      <c r="BO83" s="168"/>
      <c r="BP83" s="168"/>
      <c r="BQ83" s="168"/>
      <c r="BR83" s="168"/>
      <c r="BS83" s="168"/>
      <c r="BT83" s="168"/>
      <c r="BU83" s="168"/>
      <c r="BV83" s="168"/>
      <c r="BW83" s="168"/>
      <c r="BX83" s="168"/>
      <c r="BY83" s="168"/>
      <c r="BZ83" s="168"/>
      <c r="CA83" s="168"/>
      <c r="CB83" s="168"/>
      <c r="CC83" s="168"/>
      <c r="CD83" s="168"/>
      <c r="CE83" s="168"/>
      <c r="CF83" s="168"/>
      <c r="CG83" s="168"/>
    </row>
    <row r="84" spans="1:585" s="71" customFormat="1" ht="14.25" customHeight="1" x14ac:dyDescent="0.25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68"/>
      <c r="BM84" s="168"/>
      <c r="BN84" s="168"/>
      <c r="BO84" s="168"/>
      <c r="BP84" s="168"/>
      <c r="BQ84" s="168"/>
      <c r="BR84" s="168"/>
      <c r="BS84" s="168"/>
      <c r="BT84" s="168"/>
      <c r="BU84" s="168"/>
      <c r="BV84" s="168"/>
      <c r="BW84" s="168"/>
      <c r="BX84" s="168"/>
      <c r="BY84" s="168"/>
      <c r="BZ84" s="168"/>
      <c r="CA84" s="168"/>
      <c r="CB84" s="168"/>
      <c r="CC84" s="168"/>
      <c r="CD84" s="168"/>
      <c r="CE84" s="168"/>
      <c r="CF84" s="168"/>
      <c r="CG84" s="168"/>
    </row>
    <row r="85" spans="1:585" s="71" customFormat="1" ht="15" customHeight="1" x14ac:dyDescent="0.25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68"/>
      <c r="BM85" s="168"/>
      <c r="BN85" s="168"/>
      <c r="BO85" s="168"/>
      <c r="BP85" s="168"/>
      <c r="BQ85" s="168"/>
      <c r="BR85" s="168"/>
      <c r="BS85" s="168"/>
      <c r="BT85" s="168"/>
      <c r="BU85" s="168"/>
      <c r="BV85" s="168"/>
      <c r="BW85" s="168"/>
      <c r="BX85" s="168"/>
      <c r="BY85" s="168"/>
      <c r="BZ85" s="168"/>
      <c r="CA85" s="168"/>
      <c r="CB85" s="168"/>
      <c r="CC85" s="168"/>
      <c r="CD85" s="168"/>
      <c r="CE85" s="168"/>
      <c r="CF85" s="168"/>
      <c r="CG85" s="168"/>
    </row>
    <row r="86" spans="1:585" ht="15" customHeight="1" x14ac:dyDescent="0.25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68"/>
      <c r="BM86" s="168"/>
      <c r="BN86" s="168"/>
      <c r="BO86" s="168"/>
      <c r="BP86" s="168"/>
      <c r="BQ86" s="168"/>
      <c r="BR86" s="168"/>
      <c r="BS86" s="168"/>
      <c r="BT86" s="168"/>
      <c r="BU86" s="168"/>
      <c r="BV86" s="168"/>
      <c r="BW86" s="168"/>
      <c r="BX86" s="168"/>
      <c r="BY86" s="168"/>
      <c r="BZ86" s="168"/>
      <c r="CA86" s="168"/>
      <c r="CB86" s="168"/>
      <c r="CC86" s="168"/>
      <c r="CD86" s="168"/>
      <c r="CE86" s="168"/>
      <c r="CF86" s="168"/>
      <c r="CG86" s="168"/>
    </row>
    <row r="87" spans="1:585" ht="15" customHeight="1" x14ac:dyDescent="0.25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68"/>
      <c r="BM87" s="168"/>
      <c r="BN87" s="168"/>
      <c r="BO87" s="168"/>
      <c r="BP87" s="168"/>
      <c r="BQ87" s="168"/>
      <c r="BR87" s="168"/>
      <c r="BS87" s="168"/>
      <c r="BT87" s="168"/>
      <c r="BU87" s="168"/>
      <c r="BV87" s="168"/>
      <c r="BW87" s="168"/>
      <c r="BX87" s="168"/>
      <c r="BY87" s="168"/>
      <c r="BZ87" s="168"/>
      <c r="CA87" s="168"/>
      <c r="CB87" s="168"/>
      <c r="CC87" s="168"/>
      <c r="CD87" s="168"/>
      <c r="CE87" s="168"/>
      <c r="CF87" s="168"/>
      <c r="CG87" s="168"/>
    </row>
    <row r="88" spans="1:585" ht="15" customHeight="1" x14ac:dyDescent="0.25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68"/>
      <c r="BM88" s="168"/>
      <c r="BN88" s="168"/>
      <c r="BO88" s="168"/>
      <c r="BP88" s="168"/>
      <c r="BQ88" s="168"/>
      <c r="BR88" s="168"/>
      <c r="BS88" s="168"/>
      <c r="BT88" s="168"/>
      <c r="BU88" s="168"/>
      <c r="BV88" s="168"/>
      <c r="BW88" s="168"/>
      <c r="BX88" s="168"/>
      <c r="BY88" s="168"/>
      <c r="BZ88" s="168"/>
      <c r="CA88" s="168"/>
      <c r="CB88" s="168"/>
      <c r="CC88" s="168"/>
      <c r="CD88" s="168"/>
      <c r="CE88" s="168"/>
      <c r="CF88" s="168"/>
      <c r="CG88" s="168"/>
    </row>
    <row r="89" spans="1:585" ht="15" customHeight="1" x14ac:dyDescent="0.25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68"/>
      <c r="BM89" s="168"/>
      <c r="BN89" s="168"/>
      <c r="BO89" s="168"/>
      <c r="BP89" s="168"/>
      <c r="BQ89" s="168"/>
      <c r="BR89" s="168"/>
      <c r="BS89" s="168"/>
      <c r="BT89" s="168"/>
      <c r="BU89" s="168"/>
      <c r="BV89" s="168"/>
      <c r="BW89" s="168"/>
      <c r="BX89" s="168"/>
      <c r="BY89" s="168"/>
      <c r="BZ89" s="168"/>
      <c r="CA89" s="168"/>
      <c r="CB89" s="168"/>
      <c r="CC89" s="168"/>
      <c r="CD89" s="168"/>
      <c r="CE89" s="168"/>
      <c r="CF89" s="168"/>
      <c r="CG89" s="168"/>
    </row>
    <row r="90" spans="1:585" ht="15" customHeight="1" x14ac:dyDescent="0.25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68"/>
      <c r="BM90" s="168"/>
      <c r="BN90" s="168"/>
      <c r="BO90" s="168"/>
      <c r="BP90" s="168"/>
      <c r="BQ90" s="168"/>
      <c r="BR90" s="168"/>
      <c r="BS90" s="168"/>
      <c r="BT90" s="168"/>
      <c r="BU90" s="168"/>
      <c r="BV90" s="168"/>
      <c r="BW90" s="168"/>
      <c r="BX90" s="168"/>
      <c r="BY90" s="168"/>
      <c r="BZ90" s="168"/>
      <c r="CA90" s="168"/>
      <c r="CB90" s="168"/>
      <c r="CC90" s="168"/>
      <c r="CD90" s="168"/>
      <c r="CE90" s="168"/>
      <c r="CF90" s="168"/>
      <c r="CG90" s="168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1"/>
      <c r="DR90" s="111"/>
      <c r="DS90" s="111"/>
      <c r="DT90" s="111"/>
      <c r="DU90" s="111"/>
      <c r="DV90" s="111"/>
      <c r="DW90" s="111"/>
      <c r="DX90" s="111"/>
      <c r="DY90" s="111"/>
      <c r="DZ90" s="111"/>
      <c r="EA90" s="111"/>
      <c r="EB90" s="111"/>
      <c r="EC90" s="111"/>
      <c r="ED90" s="111"/>
      <c r="EE90" s="111"/>
      <c r="EF90" s="111"/>
      <c r="EG90" s="111"/>
      <c r="EH90" s="111"/>
      <c r="EI90" s="111"/>
      <c r="EJ90" s="111"/>
      <c r="EK90" s="111"/>
      <c r="EL90" s="111"/>
      <c r="EM90" s="111"/>
      <c r="EN90" s="111"/>
      <c r="EO90" s="111"/>
      <c r="EP90" s="111"/>
      <c r="EQ90" s="111"/>
      <c r="ER90" s="111"/>
      <c r="ES90" s="111"/>
      <c r="ET90" s="111"/>
      <c r="EU90" s="111"/>
      <c r="EV90" s="111"/>
      <c r="EW90" s="111"/>
      <c r="EX90" s="111"/>
      <c r="EY90" s="111"/>
      <c r="EZ90" s="111"/>
      <c r="FA90" s="111"/>
      <c r="FB90" s="111"/>
      <c r="FC90" s="111"/>
      <c r="FD90" s="111"/>
      <c r="FE90" s="111"/>
      <c r="FF90" s="111"/>
      <c r="FG90" s="111"/>
      <c r="FH90" s="111"/>
      <c r="FI90" s="111"/>
      <c r="FJ90" s="111"/>
      <c r="FK90" s="111"/>
      <c r="FL90" s="111"/>
      <c r="FM90" s="111"/>
      <c r="FN90" s="111"/>
      <c r="FO90" s="111"/>
      <c r="FP90" s="111"/>
      <c r="FQ90" s="111"/>
      <c r="FR90" s="111"/>
      <c r="FS90" s="111"/>
      <c r="FT90" s="111"/>
      <c r="FU90" s="111"/>
      <c r="FV90" s="111"/>
      <c r="FW90" s="111"/>
      <c r="FX90" s="111"/>
      <c r="FY90" s="111"/>
      <c r="FZ90" s="111"/>
      <c r="GA90" s="111"/>
      <c r="GB90" s="111"/>
      <c r="GC90" s="111"/>
      <c r="GD90" s="111"/>
      <c r="GE90" s="111"/>
      <c r="GF90" s="111"/>
      <c r="GG90" s="111"/>
      <c r="GH90" s="111"/>
      <c r="GI90" s="111"/>
      <c r="GJ90" s="111"/>
      <c r="GK90" s="111"/>
      <c r="GL90" s="111"/>
      <c r="GM90" s="111"/>
      <c r="GN90" s="111"/>
      <c r="GO90" s="111"/>
      <c r="GP90" s="111"/>
      <c r="GQ90" s="111"/>
      <c r="GR90" s="111"/>
      <c r="GS90" s="111"/>
      <c r="GT90" s="111"/>
      <c r="GU90" s="111"/>
      <c r="GV90" s="111"/>
      <c r="GW90" s="111"/>
      <c r="GX90" s="111"/>
      <c r="GY90" s="111"/>
      <c r="GZ90" s="111"/>
      <c r="HA90" s="111"/>
      <c r="HB90" s="111"/>
      <c r="HC90" s="111"/>
      <c r="HD90" s="111"/>
      <c r="HE90" s="111"/>
      <c r="HF90" s="111"/>
      <c r="HG90" s="111"/>
      <c r="HH90" s="111"/>
      <c r="HI90" s="111"/>
      <c r="HJ90" s="111"/>
      <c r="HK90" s="111"/>
      <c r="HL90" s="111"/>
      <c r="HM90" s="111"/>
      <c r="HN90" s="111"/>
      <c r="HO90" s="111"/>
      <c r="HP90" s="111"/>
      <c r="HQ90" s="111"/>
      <c r="HR90" s="111"/>
      <c r="HS90" s="111"/>
      <c r="HT90" s="111"/>
      <c r="HU90" s="111"/>
      <c r="HV90" s="111"/>
      <c r="HW90" s="111"/>
      <c r="HX90" s="111"/>
      <c r="HY90" s="111"/>
      <c r="HZ90" s="111"/>
      <c r="IA90" s="111"/>
      <c r="IB90" s="111"/>
      <c r="IC90" s="111"/>
      <c r="ID90" s="111"/>
      <c r="IE90" s="111"/>
      <c r="IF90" s="111"/>
      <c r="IG90" s="111"/>
      <c r="IH90" s="111"/>
      <c r="II90" s="111"/>
      <c r="IJ90" s="111"/>
      <c r="IK90" s="111"/>
      <c r="IL90" s="111"/>
      <c r="IM90" s="111"/>
      <c r="IN90" s="111"/>
      <c r="IO90" s="111"/>
      <c r="IP90" s="111"/>
      <c r="IQ90" s="111"/>
      <c r="IR90" s="111"/>
      <c r="IS90" s="111"/>
      <c r="IT90" s="111"/>
      <c r="IU90" s="111"/>
      <c r="IV90" s="111"/>
      <c r="IW90" s="111"/>
      <c r="IX90" s="111"/>
      <c r="IY90" s="111"/>
      <c r="IZ90" s="111"/>
      <c r="JA90" s="111"/>
      <c r="JB90" s="111"/>
      <c r="JC90" s="111"/>
      <c r="JD90" s="111"/>
      <c r="JE90" s="111"/>
      <c r="JF90" s="111"/>
      <c r="JG90" s="111"/>
      <c r="JH90" s="111"/>
      <c r="JI90" s="111"/>
      <c r="JJ90" s="111"/>
      <c r="JK90" s="111"/>
      <c r="JL90" s="111"/>
      <c r="JM90" s="111"/>
      <c r="JN90" s="111"/>
      <c r="JO90" s="111"/>
      <c r="JP90" s="111"/>
      <c r="JQ90" s="111"/>
      <c r="JR90" s="111"/>
      <c r="JS90" s="111"/>
      <c r="JT90" s="111"/>
      <c r="JU90" s="111"/>
      <c r="JV90" s="111"/>
      <c r="JW90" s="111"/>
      <c r="JX90" s="111"/>
      <c r="JY90" s="111"/>
      <c r="JZ90" s="111"/>
      <c r="KA90" s="111"/>
      <c r="KB90" s="111"/>
      <c r="KC90" s="111"/>
      <c r="KD90" s="111"/>
      <c r="KE90" s="111"/>
      <c r="KF90" s="111"/>
      <c r="KG90" s="111"/>
      <c r="KH90" s="111"/>
      <c r="KI90" s="111"/>
      <c r="KJ90" s="111"/>
      <c r="KK90" s="111"/>
      <c r="KL90" s="111"/>
      <c r="KM90" s="111"/>
      <c r="KN90" s="111"/>
      <c r="KO90" s="111"/>
      <c r="KP90" s="111"/>
      <c r="KQ90" s="111"/>
      <c r="KR90" s="111"/>
      <c r="KS90" s="111"/>
      <c r="KT90" s="111"/>
      <c r="KU90" s="111"/>
      <c r="KV90" s="111"/>
      <c r="KW90" s="111"/>
      <c r="KX90" s="111"/>
      <c r="KY90" s="111"/>
      <c r="KZ90" s="111"/>
      <c r="LA90" s="111"/>
      <c r="LB90" s="111"/>
      <c r="LC90" s="111"/>
      <c r="LD90" s="111"/>
      <c r="LE90" s="111"/>
      <c r="LF90" s="111"/>
      <c r="LG90" s="111"/>
      <c r="LH90" s="111"/>
      <c r="LI90" s="111"/>
      <c r="LJ90" s="111"/>
      <c r="LK90" s="111"/>
      <c r="LL90" s="111"/>
      <c r="LM90" s="111"/>
      <c r="LN90" s="111"/>
      <c r="LO90" s="111"/>
      <c r="LP90" s="111"/>
      <c r="LQ90" s="111"/>
      <c r="LR90" s="111"/>
      <c r="LS90" s="111"/>
      <c r="LT90" s="111"/>
      <c r="LU90" s="111"/>
      <c r="LV90" s="111"/>
      <c r="LW90" s="111"/>
      <c r="LX90" s="111"/>
      <c r="LY90" s="111"/>
      <c r="LZ90" s="111"/>
      <c r="MA90" s="111"/>
      <c r="MB90" s="111"/>
      <c r="MC90" s="111"/>
      <c r="MD90" s="111"/>
      <c r="ME90" s="111"/>
      <c r="MF90" s="111"/>
      <c r="MG90" s="111"/>
      <c r="MH90" s="111"/>
      <c r="MI90" s="111"/>
      <c r="MJ90" s="111"/>
      <c r="MK90" s="111"/>
      <c r="ML90" s="111"/>
      <c r="MM90" s="111"/>
      <c r="MN90" s="111"/>
      <c r="MO90" s="111"/>
      <c r="MP90" s="111"/>
      <c r="MQ90" s="111"/>
      <c r="MR90" s="111"/>
      <c r="MS90" s="111"/>
      <c r="MT90" s="111"/>
      <c r="MU90" s="111"/>
      <c r="MV90" s="111"/>
      <c r="MW90" s="111"/>
      <c r="MX90" s="111"/>
      <c r="MY90" s="111"/>
      <c r="MZ90" s="111"/>
      <c r="NA90" s="111"/>
      <c r="NB90" s="111"/>
      <c r="NC90" s="111"/>
      <c r="ND90" s="111"/>
      <c r="NE90" s="111"/>
      <c r="NF90" s="111"/>
      <c r="NG90" s="111"/>
      <c r="NH90" s="111"/>
      <c r="NI90" s="111"/>
      <c r="NJ90" s="111"/>
      <c r="NK90" s="111"/>
      <c r="NL90" s="111"/>
      <c r="NM90" s="111"/>
      <c r="NN90" s="111"/>
      <c r="NO90" s="111"/>
      <c r="NP90" s="111"/>
      <c r="NQ90" s="111"/>
      <c r="NR90" s="111"/>
      <c r="NS90" s="111"/>
      <c r="NT90" s="111"/>
      <c r="NU90" s="111"/>
      <c r="NV90" s="111"/>
      <c r="NW90" s="111"/>
      <c r="NX90" s="111"/>
      <c r="NY90" s="111"/>
      <c r="NZ90" s="111"/>
      <c r="OA90" s="111"/>
      <c r="OB90" s="111"/>
      <c r="OC90" s="111"/>
      <c r="OD90" s="111"/>
      <c r="OE90" s="111"/>
      <c r="OF90" s="111"/>
      <c r="OG90" s="111"/>
      <c r="OH90" s="111"/>
      <c r="OI90" s="111"/>
      <c r="OJ90" s="111"/>
      <c r="OK90" s="111"/>
      <c r="OL90" s="111"/>
      <c r="OM90" s="111"/>
      <c r="ON90" s="111"/>
      <c r="OO90" s="111"/>
      <c r="OP90" s="111"/>
      <c r="OQ90" s="111"/>
      <c r="OR90" s="111"/>
      <c r="OS90" s="111"/>
      <c r="OT90" s="111"/>
      <c r="OU90" s="111"/>
      <c r="OV90" s="111"/>
      <c r="OW90" s="111"/>
      <c r="OX90" s="111"/>
      <c r="OY90" s="111"/>
      <c r="OZ90" s="111"/>
      <c r="PA90" s="111"/>
      <c r="PB90" s="111"/>
      <c r="PC90" s="111"/>
      <c r="PD90" s="111"/>
      <c r="PE90" s="111"/>
      <c r="PF90" s="111"/>
      <c r="PG90" s="111"/>
      <c r="PH90" s="111"/>
      <c r="PI90" s="111"/>
      <c r="PJ90" s="111"/>
      <c r="PK90" s="111"/>
      <c r="PL90" s="111"/>
      <c r="PM90" s="111"/>
      <c r="PN90" s="111"/>
      <c r="PO90" s="111"/>
      <c r="PP90" s="111"/>
      <c r="PQ90" s="111"/>
      <c r="PR90" s="111"/>
      <c r="PS90" s="111"/>
      <c r="PT90" s="111"/>
      <c r="PU90" s="111"/>
      <c r="PV90" s="111"/>
      <c r="PW90" s="111"/>
      <c r="PX90" s="111"/>
      <c r="PY90" s="111"/>
      <c r="PZ90" s="111"/>
      <c r="QA90" s="111"/>
      <c r="QB90" s="111"/>
      <c r="QC90" s="111"/>
      <c r="QD90" s="111"/>
      <c r="QE90" s="111"/>
      <c r="QF90" s="111"/>
      <c r="QG90" s="111"/>
      <c r="QH90" s="111"/>
      <c r="QI90" s="111"/>
      <c r="QJ90" s="111"/>
      <c r="QK90" s="111"/>
      <c r="QL90" s="111"/>
      <c r="QM90" s="111"/>
      <c r="QN90" s="111"/>
      <c r="QO90" s="111"/>
      <c r="QP90" s="111"/>
      <c r="QQ90" s="111"/>
      <c r="QR90" s="111"/>
      <c r="QS90" s="111"/>
      <c r="QT90" s="111"/>
      <c r="QU90" s="111"/>
      <c r="QV90" s="111"/>
      <c r="QW90" s="111"/>
      <c r="QX90" s="111"/>
      <c r="QY90" s="111"/>
      <c r="QZ90" s="111"/>
      <c r="RA90" s="111"/>
      <c r="RB90" s="111"/>
      <c r="RC90" s="111"/>
      <c r="RD90" s="111"/>
      <c r="RE90" s="111"/>
      <c r="RF90" s="111"/>
      <c r="RG90" s="111"/>
      <c r="RH90" s="111"/>
      <c r="RI90" s="111"/>
      <c r="RJ90" s="111"/>
      <c r="RK90" s="111"/>
      <c r="RL90" s="111"/>
      <c r="RM90" s="111"/>
      <c r="RN90" s="111"/>
      <c r="RO90" s="111"/>
      <c r="RP90" s="111"/>
      <c r="RQ90" s="111"/>
      <c r="RR90" s="111"/>
      <c r="RS90" s="111"/>
      <c r="RT90" s="111"/>
      <c r="RU90" s="111"/>
      <c r="RV90" s="111"/>
      <c r="RW90" s="111"/>
      <c r="RX90" s="111"/>
      <c r="RY90" s="111"/>
      <c r="RZ90" s="111"/>
      <c r="SA90" s="111"/>
      <c r="SB90" s="111"/>
      <c r="SC90" s="111"/>
      <c r="SD90" s="111"/>
      <c r="SE90" s="111"/>
      <c r="SF90" s="111"/>
      <c r="SG90" s="111"/>
      <c r="SH90" s="111"/>
      <c r="SI90" s="111"/>
      <c r="SJ90" s="111"/>
      <c r="SK90" s="111"/>
      <c r="SL90" s="111"/>
      <c r="SM90" s="111"/>
      <c r="SN90" s="111"/>
      <c r="SO90" s="111"/>
      <c r="SP90" s="111"/>
      <c r="SQ90" s="111"/>
      <c r="SR90" s="111"/>
      <c r="SS90" s="111"/>
      <c r="ST90" s="111"/>
      <c r="SU90" s="111"/>
      <c r="SV90" s="111"/>
      <c r="SW90" s="111"/>
      <c r="SX90" s="111"/>
      <c r="SY90" s="111"/>
      <c r="SZ90" s="111"/>
      <c r="TA90" s="111"/>
      <c r="TB90" s="111"/>
      <c r="TC90" s="111"/>
      <c r="TD90" s="111"/>
      <c r="TE90" s="111"/>
      <c r="TF90" s="111"/>
      <c r="TG90" s="111"/>
      <c r="TH90" s="111"/>
      <c r="TI90" s="111"/>
      <c r="TJ90" s="111"/>
      <c r="TK90" s="111"/>
      <c r="TL90" s="111"/>
      <c r="TM90" s="111"/>
      <c r="TN90" s="111"/>
      <c r="TO90" s="111"/>
      <c r="TP90" s="111"/>
      <c r="TQ90" s="111"/>
      <c r="TR90" s="111"/>
      <c r="TS90" s="111"/>
      <c r="TT90" s="111"/>
      <c r="TU90" s="111"/>
      <c r="TV90" s="111"/>
      <c r="TW90" s="111"/>
      <c r="TX90" s="111"/>
      <c r="TY90" s="111"/>
      <c r="TZ90" s="111"/>
      <c r="UA90" s="111"/>
      <c r="UB90" s="111"/>
      <c r="UC90" s="111"/>
      <c r="UD90" s="111"/>
      <c r="UE90" s="111"/>
      <c r="UF90" s="111"/>
      <c r="UG90" s="111"/>
      <c r="UH90" s="111"/>
      <c r="UI90" s="111"/>
      <c r="UJ90" s="111"/>
      <c r="UK90" s="111"/>
      <c r="UL90" s="111"/>
      <c r="UM90" s="111"/>
      <c r="UN90" s="111"/>
      <c r="UO90" s="111"/>
      <c r="UP90" s="111"/>
      <c r="UQ90" s="111"/>
      <c r="UR90" s="111"/>
      <c r="US90" s="111"/>
      <c r="UT90" s="111"/>
      <c r="UU90" s="111"/>
      <c r="UV90" s="111"/>
      <c r="UW90" s="111"/>
      <c r="UX90" s="111"/>
      <c r="UY90" s="111"/>
      <c r="UZ90" s="111"/>
      <c r="VA90" s="111"/>
      <c r="VB90" s="111"/>
      <c r="VC90" s="111"/>
      <c r="VD90" s="111"/>
      <c r="VE90" s="111"/>
      <c r="VF90" s="111"/>
      <c r="VG90" s="111"/>
      <c r="VH90" s="111"/>
      <c r="VI90" s="111"/>
      <c r="VJ90" s="111"/>
      <c r="VK90" s="111"/>
      <c r="VL90" s="111"/>
      <c r="VM90" s="111"/>
    </row>
    <row r="91" spans="1:585" ht="15" customHeight="1" x14ac:dyDescent="0.25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68"/>
      <c r="BM91" s="168"/>
      <c r="BN91" s="168"/>
      <c r="BO91" s="168"/>
      <c r="BP91" s="168"/>
      <c r="BQ91" s="168"/>
      <c r="BR91" s="168"/>
      <c r="BS91" s="168"/>
      <c r="BT91" s="168"/>
      <c r="BU91" s="168"/>
      <c r="BV91" s="168"/>
      <c r="BW91" s="168"/>
      <c r="BX91" s="168"/>
      <c r="BY91" s="168"/>
      <c r="BZ91" s="168"/>
      <c r="CA91" s="168"/>
      <c r="CB91" s="168"/>
      <c r="CC91" s="168"/>
      <c r="CD91" s="168"/>
      <c r="CE91" s="168"/>
      <c r="CF91" s="168"/>
      <c r="CG91" s="168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DQ91" s="111"/>
      <c r="DR91" s="111"/>
      <c r="DS91" s="111"/>
      <c r="DT91" s="111"/>
      <c r="DU91" s="111"/>
      <c r="DV91" s="111"/>
      <c r="DW91" s="111"/>
      <c r="DX91" s="111"/>
      <c r="DY91" s="111"/>
      <c r="DZ91" s="111"/>
      <c r="EA91" s="111"/>
      <c r="EB91" s="111"/>
      <c r="EC91" s="111"/>
      <c r="ED91" s="111"/>
      <c r="EE91" s="111"/>
      <c r="EF91" s="111"/>
      <c r="EG91" s="111"/>
      <c r="EH91" s="111"/>
      <c r="EI91" s="111"/>
      <c r="EJ91" s="111"/>
      <c r="EK91" s="111"/>
      <c r="EL91" s="111"/>
      <c r="EM91" s="111"/>
      <c r="EN91" s="111"/>
      <c r="EO91" s="111"/>
      <c r="EP91" s="111"/>
      <c r="EQ91" s="111"/>
      <c r="ER91" s="111"/>
      <c r="ES91" s="111"/>
      <c r="ET91" s="111"/>
      <c r="EU91" s="111"/>
      <c r="EV91" s="111"/>
      <c r="EW91" s="111"/>
      <c r="EX91" s="111"/>
      <c r="EY91" s="111"/>
      <c r="EZ91" s="111"/>
      <c r="FA91" s="111"/>
      <c r="FB91" s="111"/>
      <c r="FC91" s="111"/>
      <c r="FD91" s="111"/>
      <c r="FE91" s="111"/>
      <c r="FF91" s="111"/>
      <c r="FG91" s="111"/>
      <c r="FH91" s="111"/>
      <c r="FI91" s="111"/>
      <c r="FJ91" s="111"/>
      <c r="FK91" s="111"/>
      <c r="FL91" s="111"/>
      <c r="FM91" s="111"/>
      <c r="FN91" s="111"/>
      <c r="FO91" s="111"/>
      <c r="FP91" s="111"/>
      <c r="FQ91" s="111"/>
      <c r="FR91" s="111"/>
      <c r="FS91" s="111"/>
      <c r="FT91" s="111"/>
      <c r="FU91" s="111"/>
      <c r="FV91" s="111"/>
      <c r="FW91" s="111"/>
      <c r="FX91" s="111"/>
      <c r="FY91" s="111"/>
      <c r="FZ91" s="111"/>
      <c r="GA91" s="111"/>
      <c r="GB91" s="111"/>
      <c r="GC91" s="111"/>
      <c r="GD91" s="111"/>
      <c r="GE91" s="111"/>
      <c r="GF91" s="111"/>
      <c r="GG91" s="111"/>
      <c r="GH91" s="111"/>
      <c r="GI91" s="111"/>
      <c r="GJ91" s="111"/>
      <c r="GK91" s="111"/>
      <c r="GL91" s="111"/>
      <c r="GM91" s="111"/>
      <c r="GN91" s="111"/>
      <c r="GO91" s="111"/>
      <c r="GP91" s="111"/>
      <c r="GQ91" s="111"/>
      <c r="GR91" s="111"/>
      <c r="GS91" s="111"/>
      <c r="GT91" s="111"/>
      <c r="GU91" s="111"/>
      <c r="GV91" s="111"/>
      <c r="GW91" s="111"/>
      <c r="GX91" s="111"/>
      <c r="GY91" s="111"/>
      <c r="GZ91" s="111"/>
      <c r="HA91" s="111"/>
      <c r="HB91" s="111"/>
      <c r="HC91" s="111"/>
      <c r="HD91" s="111"/>
      <c r="HE91" s="111"/>
      <c r="HF91" s="111"/>
      <c r="HG91" s="111"/>
      <c r="HH91" s="111"/>
      <c r="HI91" s="111"/>
      <c r="HJ91" s="111"/>
      <c r="HK91" s="111"/>
      <c r="HL91" s="111"/>
      <c r="HM91" s="111"/>
      <c r="HN91" s="111"/>
      <c r="HO91" s="111"/>
      <c r="HP91" s="111"/>
      <c r="HQ91" s="111"/>
      <c r="HR91" s="111"/>
      <c r="HS91" s="111"/>
      <c r="HT91" s="111"/>
      <c r="HU91" s="111"/>
      <c r="HV91" s="111"/>
      <c r="HW91" s="111"/>
      <c r="HX91" s="111"/>
      <c r="HY91" s="111"/>
      <c r="HZ91" s="111"/>
      <c r="IA91" s="111"/>
      <c r="IB91" s="111"/>
      <c r="IC91" s="111"/>
      <c r="ID91" s="111"/>
      <c r="IE91" s="111"/>
      <c r="IF91" s="111"/>
      <c r="IG91" s="111"/>
      <c r="IH91" s="111"/>
      <c r="II91" s="111"/>
      <c r="IJ91" s="111"/>
      <c r="IK91" s="111"/>
      <c r="IL91" s="111"/>
      <c r="IM91" s="111"/>
      <c r="IN91" s="111"/>
      <c r="IO91" s="111"/>
      <c r="IP91" s="111"/>
      <c r="IQ91" s="111"/>
      <c r="IR91" s="111"/>
      <c r="IS91" s="111"/>
      <c r="IT91" s="111"/>
      <c r="IU91" s="111"/>
      <c r="IV91" s="111"/>
      <c r="IW91" s="111"/>
      <c r="IX91" s="111"/>
      <c r="IY91" s="111"/>
      <c r="IZ91" s="111"/>
      <c r="JA91" s="111"/>
      <c r="JB91" s="111"/>
      <c r="JC91" s="111"/>
      <c r="JD91" s="111"/>
      <c r="JE91" s="111"/>
      <c r="JF91" s="111"/>
      <c r="JG91" s="111"/>
      <c r="JH91" s="111"/>
      <c r="JI91" s="111"/>
      <c r="JJ91" s="111"/>
      <c r="JK91" s="111"/>
      <c r="JL91" s="111"/>
      <c r="JM91" s="111"/>
      <c r="JN91" s="111"/>
      <c r="JO91" s="111"/>
      <c r="JP91" s="111"/>
      <c r="JQ91" s="111"/>
      <c r="JR91" s="111"/>
      <c r="JS91" s="111"/>
      <c r="JT91" s="111"/>
      <c r="JU91" s="111"/>
      <c r="JV91" s="111"/>
      <c r="JW91" s="111"/>
      <c r="JX91" s="111"/>
      <c r="JY91" s="111"/>
      <c r="JZ91" s="111"/>
      <c r="KA91" s="111"/>
      <c r="KB91" s="111"/>
      <c r="KC91" s="111"/>
      <c r="KD91" s="111"/>
      <c r="KE91" s="111"/>
      <c r="KF91" s="111"/>
      <c r="KG91" s="111"/>
      <c r="KH91" s="111"/>
      <c r="KI91" s="111"/>
      <c r="KJ91" s="111"/>
      <c r="KK91" s="111"/>
      <c r="KL91" s="111"/>
      <c r="KM91" s="111"/>
      <c r="KN91" s="111"/>
      <c r="KO91" s="111"/>
      <c r="KP91" s="111"/>
      <c r="KQ91" s="111"/>
      <c r="KR91" s="111"/>
      <c r="KS91" s="111"/>
      <c r="KT91" s="111"/>
      <c r="KU91" s="111"/>
      <c r="KV91" s="111"/>
      <c r="KW91" s="111"/>
      <c r="KX91" s="111"/>
      <c r="KY91" s="111"/>
      <c r="KZ91" s="111"/>
      <c r="LA91" s="111"/>
      <c r="LB91" s="111"/>
      <c r="LC91" s="111"/>
      <c r="LD91" s="111"/>
      <c r="LE91" s="111"/>
      <c r="LF91" s="111"/>
      <c r="LG91" s="111"/>
      <c r="LH91" s="111"/>
      <c r="LI91" s="111"/>
      <c r="LJ91" s="111"/>
      <c r="LK91" s="111"/>
      <c r="LL91" s="111"/>
      <c r="LM91" s="111"/>
      <c r="LN91" s="111"/>
      <c r="LO91" s="111"/>
      <c r="LP91" s="111"/>
      <c r="LQ91" s="111"/>
      <c r="LR91" s="111"/>
      <c r="LS91" s="111"/>
      <c r="LT91" s="111"/>
      <c r="LU91" s="111"/>
      <c r="LV91" s="111"/>
      <c r="LW91" s="111"/>
      <c r="LX91" s="111"/>
      <c r="LY91" s="111"/>
      <c r="LZ91" s="111"/>
      <c r="MA91" s="111"/>
      <c r="MB91" s="111"/>
      <c r="MC91" s="111"/>
      <c r="MD91" s="111"/>
      <c r="ME91" s="111"/>
      <c r="MF91" s="111"/>
      <c r="MG91" s="111"/>
      <c r="MH91" s="111"/>
      <c r="MI91" s="111"/>
      <c r="MJ91" s="111"/>
      <c r="MK91" s="111"/>
      <c r="ML91" s="111"/>
      <c r="MM91" s="111"/>
      <c r="MN91" s="111"/>
      <c r="MO91" s="111"/>
      <c r="MP91" s="111"/>
      <c r="MQ91" s="111"/>
      <c r="MR91" s="111"/>
      <c r="MS91" s="111"/>
      <c r="MT91" s="111"/>
      <c r="MU91" s="111"/>
      <c r="MV91" s="111"/>
      <c r="MW91" s="111"/>
      <c r="MX91" s="111"/>
      <c r="MY91" s="111"/>
      <c r="MZ91" s="111"/>
      <c r="NA91" s="111"/>
      <c r="NB91" s="111"/>
      <c r="NC91" s="111"/>
      <c r="ND91" s="111"/>
      <c r="NE91" s="111"/>
      <c r="NF91" s="111"/>
      <c r="NG91" s="111"/>
      <c r="NH91" s="111"/>
      <c r="NI91" s="111"/>
      <c r="NJ91" s="111"/>
      <c r="NK91" s="111"/>
      <c r="NL91" s="111"/>
      <c r="NM91" s="111"/>
      <c r="NN91" s="111"/>
      <c r="NO91" s="111"/>
      <c r="NP91" s="111"/>
      <c r="NQ91" s="111"/>
      <c r="NR91" s="111"/>
      <c r="NS91" s="111"/>
      <c r="NT91" s="111"/>
      <c r="NU91" s="111"/>
      <c r="NV91" s="111"/>
      <c r="NW91" s="111"/>
      <c r="NX91" s="111"/>
      <c r="NY91" s="111"/>
      <c r="NZ91" s="111"/>
      <c r="OA91" s="111"/>
      <c r="OB91" s="111"/>
      <c r="OC91" s="111"/>
      <c r="OD91" s="111"/>
      <c r="OE91" s="111"/>
      <c r="OF91" s="111"/>
      <c r="OG91" s="111"/>
      <c r="OH91" s="111"/>
      <c r="OI91" s="111"/>
      <c r="OJ91" s="111"/>
      <c r="OK91" s="111"/>
      <c r="OL91" s="111"/>
      <c r="OM91" s="111"/>
      <c r="ON91" s="111"/>
      <c r="OO91" s="111"/>
      <c r="OP91" s="111"/>
      <c r="OQ91" s="111"/>
      <c r="OR91" s="111"/>
      <c r="OS91" s="111"/>
      <c r="OT91" s="111"/>
      <c r="OU91" s="111"/>
      <c r="OV91" s="111"/>
      <c r="OW91" s="111"/>
      <c r="OX91" s="111"/>
      <c r="OY91" s="111"/>
      <c r="OZ91" s="111"/>
      <c r="PA91" s="111"/>
      <c r="PB91" s="111"/>
      <c r="PC91" s="111"/>
      <c r="PD91" s="111"/>
      <c r="PE91" s="111"/>
      <c r="PF91" s="111"/>
      <c r="PG91" s="111"/>
      <c r="PH91" s="111"/>
      <c r="PI91" s="111"/>
      <c r="PJ91" s="111"/>
      <c r="PK91" s="111"/>
      <c r="PL91" s="111"/>
      <c r="PM91" s="111"/>
      <c r="PN91" s="111"/>
      <c r="PO91" s="111"/>
      <c r="PP91" s="111"/>
      <c r="PQ91" s="111"/>
      <c r="PR91" s="111"/>
      <c r="PS91" s="111"/>
      <c r="PT91" s="111"/>
      <c r="PU91" s="111"/>
      <c r="PV91" s="111"/>
      <c r="PW91" s="111"/>
      <c r="PX91" s="111"/>
      <c r="PY91" s="111"/>
      <c r="PZ91" s="111"/>
      <c r="QA91" s="111"/>
      <c r="QB91" s="111"/>
      <c r="QC91" s="111"/>
      <c r="QD91" s="111"/>
      <c r="QE91" s="111"/>
      <c r="QF91" s="111"/>
      <c r="QG91" s="111"/>
      <c r="QH91" s="111"/>
      <c r="QI91" s="111"/>
      <c r="QJ91" s="111"/>
      <c r="QK91" s="111"/>
      <c r="QL91" s="111"/>
      <c r="QM91" s="111"/>
      <c r="QN91" s="111"/>
      <c r="QO91" s="111"/>
      <c r="QP91" s="111"/>
      <c r="QQ91" s="111"/>
      <c r="QR91" s="111"/>
      <c r="QS91" s="111"/>
      <c r="QT91" s="111"/>
      <c r="QU91" s="111"/>
      <c r="QV91" s="111"/>
      <c r="QW91" s="111"/>
      <c r="QX91" s="111"/>
      <c r="QY91" s="111"/>
      <c r="QZ91" s="111"/>
      <c r="RA91" s="111"/>
      <c r="RB91" s="111"/>
      <c r="RC91" s="111"/>
      <c r="RD91" s="111"/>
      <c r="RE91" s="111"/>
      <c r="RF91" s="111"/>
      <c r="RG91" s="111"/>
      <c r="RH91" s="111"/>
      <c r="RI91" s="111"/>
      <c r="RJ91" s="111"/>
      <c r="RK91" s="111"/>
      <c r="RL91" s="111"/>
      <c r="RM91" s="111"/>
      <c r="RN91" s="111"/>
      <c r="RO91" s="111"/>
      <c r="RP91" s="111"/>
      <c r="RQ91" s="111"/>
      <c r="RR91" s="111"/>
      <c r="RS91" s="111"/>
      <c r="RT91" s="111"/>
      <c r="RU91" s="111"/>
      <c r="RV91" s="111"/>
      <c r="RW91" s="111"/>
      <c r="RX91" s="111"/>
      <c r="RY91" s="111"/>
      <c r="RZ91" s="111"/>
      <c r="SA91" s="111"/>
      <c r="SB91" s="111"/>
      <c r="SC91" s="111"/>
      <c r="SD91" s="111"/>
      <c r="SE91" s="111"/>
      <c r="SF91" s="111"/>
      <c r="SG91" s="111"/>
      <c r="SH91" s="111"/>
      <c r="SI91" s="111"/>
      <c r="SJ91" s="111"/>
      <c r="SK91" s="111"/>
      <c r="SL91" s="111"/>
      <c r="SM91" s="111"/>
      <c r="SN91" s="111"/>
      <c r="SO91" s="111"/>
      <c r="SP91" s="111"/>
      <c r="SQ91" s="111"/>
      <c r="SR91" s="111"/>
      <c r="SS91" s="111"/>
      <c r="ST91" s="111"/>
      <c r="SU91" s="111"/>
      <c r="SV91" s="111"/>
      <c r="SW91" s="111"/>
      <c r="SX91" s="111"/>
      <c r="SY91" s="111"/>
      <c r="SZ91" s="111"/>
      <c r="TA91" s="111"/>
      <c r="TB91" s="111"/>
      <c r="TC91" s="111"/>
      <c r="TD91" s="111"/>
      <c r="TE91" s="111"/>
      <c r="TF91" s="111"/>
      <c r="TG91" s="111"/>
      <c r="TH91" s="111"/>
      <c r="TI91" s="111"/>
      <c r="TJ91" s="111"/>
      <c r="TK91" s="111"/>
      <c r="TL91" s="111"/>
      <c r="TM91" s="111"/>
      <c r="TN91" s="111"/>
      <c r="TO91" s="111"/>
      <c r="TP91" s="111"/>
      <c r="TQ91" s="111"/>
      <c r="TR91" s="111"/>
      <c r="TS91" s="111"/>
      <c r="TT91" s="111"/>
      <c r="TU91" s="111"/>
      <c r="TV91" s="111"/>
      <c r="TW91" s="111"/>
      <c r="TX91" s="111"/>
      <c r="TY91" s="111"/>
      <c r="TZ91" s="111"/>
      <c r="UA91" s="111"/>
      <c r="UB91" s="111"/>
      <c r="UC91" s="111"/>
      <c r="UD91" s="111"/>
      <c r="UE91" s="111"/>
      <c r="UF91" s="111"/>
      <c r="UG91" s="111"/>
      <c r="UH91" s="111"/>
      <c r="UI91" s="111"/>
      <c r="UJ91" s="111"/>
      <c r="UK91" s="111"/>
      <c r="UL91" s="111"/>
      <c r="UM91" s="111"/>
      <c r="UN91" s="111"/>
      <c r="UO91" s="111"/>
      <c r="UP91" s="111"/>
      <c r="UQ91" s="111"/>
      <c r="UR91" s="111"/>
      <c r="US91" s="111"/>
      <c r="UT91" s="111"/>
      <c r="UU91" s="111"/>
      <c r="UV91" s="111"/>
      <c r="UW91" s="111"/>
      <c r="UX91" s="111"/>
      <c r="UY91" s="111"/>
      <c r="UZ91" s="111"/>
      <c r="VA91" s="111"/>
      <c r="VB91" s="111"/>
      <c r="VC91" s="111"/>
      <c r="VD91" s="111"/>
      <c r="VE91" s="111"/>
      <c r="VF91" s="111"/>
      <c r="VG91" s="111"/>
      <c r="VH91" s="111"/>
      <c r="VI91" s="111"/>
      <c r="VJ91" s="111"/>
      <c r="VK91" s="111"/>
      <c r="VL91" s="111"/>
      <c r="VM91" s="111"/>
    </row>
    <row r="92" spans="1:585" ht="15" customHeight="1" x14ac:dyDescent="0.25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68"/>
      <c r="BM92" s="168"/>
      <c r="BN92" s="168"/>
      <c r="BO92" s="168"/>
      <c r="BP92" s="168"/>
      <c r="BQ92" s="168"/>
      <c r="BR92" s="168"/>
      <c r="BS92" s="168"/>
      <c r="BT92" s="168"/>
      <c r="BU92" s="168"/>
      <c r="BV92" s="168"/>
      <c r="BW92" s="168"/>
      <c r="BX92" s="168"/>
      <c r="BY92" s="168"/>
      <c r="BZ92" s="168"/>
      <c r="CA92" s="168"/>
      <c r="CB92" s="168"/>
      <c r="CC92" s="168"/>
      <c r="CD92" s="168"/>
      <c r="CE92" s="168"/>
      <c r="CF92" s="168"/>
      <c r="CG92" s="168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DQ92" s="111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1"/>
      <c r="FG92" s="111"/>
      <c r="FH92" s="111"/>
      <c r="FI92" s="111"/>
      <c r="FJ92" s="111"/>
      <c r="FK92" s="111"/>
      <c r="FL92" s="111"/>
      <c r="FM92" s="111"/>
      <c r="FN92" s="111"/>
      <c r="FO92" s="111"/>
      <c r="FP92" s="111"/>
      <c r="FQ92" s="111"/>
      <c r="FR92" s="111"/>
      <c r="FS92" s="111"/>
      <c r="FT92" s="111"/>
      <c r="FU92" s="111"/>
      <c r="FV92" s="111"/>
      <c r="FW92" s="111"/>
      <c r="FX92" s="111"/>
      <c r="FY92" s="111"/>
      <c r="FZ92" s="111"/>
      <c r="GA92" s="111"/>
      <c r="GB92" s="111"/>
      <c r="GC92" s="111"/>
      <c r="GD92" s="111"/>
      <c r="GE92" s="111"/>
      <c r="GF92" s="111"/>
      <c r="GG92" s="111"/>
      <c r="GH92" s="111"/>
      <c r="GI92" s="111"/>
      <c r="GJ92" s="111"/>
      <c r="GK92" s="111"/>
      <c r="GL92" s="111"/>
      <c r="GM92" s="111"/>
      <c r="GN92" s="111"/>
      <c r="GO92" s="111"/>
      <c r="GP92" s="111"/>
      <c r="GQ92" s="111"/>
      <c r="GR92" s="111"/>
      <c r="GS92" s="111"/>
      <c r="GT92" s="111"/>
      <c r="GU92" s="111"/>
      <c r="GV92" s="111"/>
      <c r="GW92" s="111"/>
      <c r="GX92" s="111"/>
      <c r="GY92" s="111"/>
      <c r="GZ92" s="111"/>
      <c r="HA92" s="111"/>
      <c r="HB92" s="111"/>
      <c r="HC92" s="111"/>
      <c r="HD92" s="111"/>
      <c r="HE92" s="111"/>
      <c r="HF92" s="111"/>
      <c r="HG92" s="111"/>
      <c r="HH92" s="111"/>
      <c r="HI92" s="111"/>
      <c r="HJ92" s="111"/>
      <c r="HK92" s="111"/>
      <c r="HL92" s="111"/>
      <c r="HM92" s="111"/>
      <c r="HN92" s="111"/>
      <c r="HO92" s="111"/>
      <c r="HP92" s="111"/>
      <c r="HQ92" s="111"/>
      <c r="HR92" s="111"/>
      <c r="HS92" s="111"/>
      <c r="HT92" s="111"/>
      <c r="HU92" s="111"/>
      <c r="HV92" s="111"/>
      <c r="HW92" s="111"/>
      <c r="HX92" s="111"/>
      <c r="HY92" s="111"/>
      <c r="HZ92" s="111"/>
      <c r="IA92" s="111"/>
      <c r="IB92" s="111"/>
      <c r="IC92" s="111"/>
      <c r="ID92" s="111"/>
      <c r="IE92" s="111"/>
      <c r="IF92" s="111"/>
      <c r="IG92" s="111"/>
      <c r="IH92" s="111"/>
      <c r="II92" s="111"/>
      <c r="IJ92" s="111"/>
      <c r="IK92" s="111"/>
      <c r="IL92" s="111"/>
      <c r="IM92" s="111"/>
      <c r="IN92" s="111"/>
      <c r="IO92" s="111"/>
      <c r="IP92" s="111"/>
      <c r="IQ92" s="111"/>
      <c r="IR92" s="111"/>
      <c r="IS92" s="111"/>
      <c r="IT92" s="111"/>
      <c r="IU92" s="111"/>
      <c r="IV92" s="111"/>
      <c r="IW92" s="111"/>
      <c r="IX92" s="111"/>
      <c r="IY92" s="111"/>
      <c r="IZ92" s="111"/>
      <c r="JA92" s="111"/>
      <c r="JB92" s="111"/>
      <c r="JC92" s="111"/>
      <c r="JD92" s="111"/>
      <c r="JE92" s="111"/>
      <c r="JF92" s="111"/>
      <c r="JG92" s="111"/>
      <c r="JH92" s="111"/>
      <c r="JI92" s="111"/>
      <c r="JJ92" s="111"/>
      <c r="JK92" s="111"/>
      <c r="JL92" s="111"/>
      <c r="JM92" s="111"/>
      <c r="JN92" s="111"/>
      <c r="JO92" s="111"/>
      <c r="JP92" s="111"/>
      <c r="JQ92" s="111"/>
      <c r="JR92" s="111"/>
      <c r="JS92" s="111"/>
      <c r="JT92" s="111"/>
      <c r="JU92" s="111"/>
      <c r="JV92" s="111"/>
      <c r="JW92" s="111"/>
      <c r="JX92" s="111"/>
      <c r="JY92" s="111"/>
      <c r="JZ92" s="111"/>
      <c r="KA92" s="111"/>
      <c r="KB92" s="111"/>
      <c r="KC92" s="111"/>
      <c r="KD92" s="111"/>
      <c r="KE92" s="111"/>
      <c r="KF92" s="111"/>
      <c r="KG92" s="111"/>
      <c r="KH92" s="111"/>
      <c r="KI92" s="111"/>
      <c r="KJ92" s="111"/>
      <c r="KK92" s="111"/>
      <c r="KL92" s="111"/>
      <c r="KM92" s="111"/>
      <c r="KN92" s="111"/>
      <c r="KO92" s="111"/>
      <c r="KP92" s="111"/>
      <c r="KQ92" s="111"/>
      <c r="KR92" s="111"/>
      <c r="KS92" s="111"/>
      <c r="KT92" s="111"/>
      <c r="KU92" s="111"/>
      <c r="KV92" s="111"/>
      <c r="KW92" s="111"/>
      <c r="KX92" s="111"/>
      <c r="KY92" s="111"/>
      <c r="KZ92" s="111"/>
      <c r="LA92" s="111"/>
      <c r="LB92" s="111"/>
      <c r="LC92" s="111"/>
      <c r="LD92" s="111"/>
      <c r="LE92" s="111"/>
      <c r="LF92" s="111"/>
      <c r="LG92" s="111"/>
      <c r="LH92" s="111"/>
      <c r="LI92" s="111"/>
      <c r="LJ92" s="111"/>
      <c r="LK92" s="111"/>
      <c r="LL92" s="111"/>
      <c r="LM92" s="111"/>
      <c r="LN92" s="111"/>
      <c r="LO92" s="111"/>
      <c r="LP92" s="111"/>
      <c r="LQ92" s="111"/>
      <c r="LR92" s="111"/>
      <c r="LS92" s="111"/>
      <c r="LT92" s="111"/>
      <c r="LU92" s="111"/>
      <c r="LV92" s="111"/>
      <c r="LW92" s="111"/>
      <c r="LX92" s="111"/>
      <c r="LY92" s="111"/>
      <c r="LZ92" s="111"/>
      <c r="MA92" s="111"/>
      <c r="MB92" s="111"/>
      <c r="MC92" s="111"/>
      <c r="MD92" s="111"/>
      <c r="ME92" s="111"/>
      <c r="MF92" s="111"/>
      <c r="MG92" s="111"/>
      <c r="MH92" s="111"/>
      <c r="MI92" s="111"/>
      <c r="MJ92" s="111"/>
      <c r="MK92" s="111"/>
      <c r="ML92" s="111"/>
      <c r="MM92" s="111"/>
      <c r="MN92" s="111"/>
      <c r="MO92" s="111"/>
      <c r="MP92" s="111"/>
      <c r="MQ92" s="111"/>
      <c r="MR92" s="111"/>
      <c r="MS92" s="111"/>
      <c r="MT92" s="111"/>
      <c r="MU92" s="111"/>
      <c r="MV92" s="111"/>
      <c r="MW92" s="111"/>
      <c r="MX92" s="111"/>
      <c r="MY92" s="111"/>
      <c r="MZ92" s="111"/>
      <c r="NA92" s="111"/>
      <c r="NB92" s="111"/>
      <c r="NC92" s="111"/>
      <c r="ND92" s="111"/>
      <c r="NE92" s="111"/>
      <c r="NF92" s="111"/>
      <c r="NG92" s="111"/>
      <c r="NH92" s="111"/>
      <c r="NI92" s="111"/>
      <c r="NJ92" s="111"/>
      <c r="NK92" s="111"/>
      <c r="NL92" s="111"/>
      <c r="NM92" s="111"/>
      <c r="NN92" s="111"/>
      <c r="NO92" s="111"/>
      <c r="NP92" s="111"/>
      <c r="NQ92" s="111"/>
      <c r="NR92" s="111"/>
      <c r="NS92" s="111"/>
      <c r="NT92" s="111"/>
      <c r="NU92" s="111"/>
      <c r="NV92" s="111"/>
      <c r="NW92" s="111"/>
      <c r="NX92" s="111"/>
      <c r="NY92" s="111"/>
      <c r="NZ92" s="111"/>
      <c r="OA92" s="111"/>
      <c r="OB92" s="111"/>
      <c r="OC92" s="111"/>
      <c r="OD92" s="111"/>
      <c r="OE92" s="111"/>
      <c r="OF92" s="111"/>
      <c r="OG92" s="111"/>
      <c r="OH92" s="111"/>
      <c r="OI92" s="111"/>
      <c r="OJ92" s="111"/>
      <c r="OK92" s="111"/>
      <c r="OL92" s="111"/>
      <c r="OM92" s="111"/>
      <c r="ON92" s="111"/>
      <c r="OO92" s="111"/>
      <c r="OP92" s="111"/>
      <c r="OQ92" s="111"/>
      <c r="OR92" s="111"/>
      <c r="OS92" s="111"/>
      <c r="OT92" s="111"/>
      <c r="OU92" s="111"/>
      <c r="OV92" s="111"/>
      <c r="OW92" s="111"/>
      <c r="OX92" s="111"/>
      <c r="OY92" s="111"/>
      <c r="OZ92" s="111"/>
      <c r="PA92" s="111"/>
      <c r="PB92" s="111"/>
      <c r="PC92" s="111"/>
      <c r="PD92" s="111"/>
      <c r="PE92" s="111"/>
      <c r="PF92" s="111"/>
      <c r="PG92" s="111"/>
      <c r="PH92" s="111"/>
      <c r="PI92" s="111"/>
      <c r="PJ92" s="111"/>
      <c r="PK92" s="111"/>
      <c r="PL92" s="111"/>
      <c r="PM92" s="111"/>
      <c r="PN92" s="111"/>
      <c r="PO92" s="111"/>
      <c r="PP92" s="111"/>
      <c r="PQ92" s="111"/>
      <c r="PR92" s="111"/>
      <c r="PS92" s="111"/>
      <c r="PT92" s="111"/>
      <c r="PU92" s="111"/>
      <c r="PV92" s="111"/>
      <c r="PW92" s="111"/>
      <c r="PX92" s="111"/>
      <c r="PY92" s="111"/>
      <c r="PZ92" s="111"/>
      <c r="QA92" s="111"/>
      <c r="QB92" s="111"/>
      <c r="QC92" s="111"/>
      <c r="QD92" s="111"/>
      <c r="QE92" s="111"/>
      <c r="QF92" s="111"/>
      <c r="QG92" s="111"/>
      <c r="QH92" s="111"/>
      <c r="QI92" s="111"/>
      <c r="QJ92" s="111"/>
      <c r="QK92" s="111"/>
      <c r="QL92" s="111"/>
      <c r="QM92" s="111"/>
      <c r="QN92" s="111"/>
      <c r="QO92" s="111"/>
      <c r="QP92" s="111"/>
      <c r="QQ92" s="111"/>
      <c r="QR92" s="111"/>
      <c r="QS92" s="111"/>
      <c r="QT92" s="111"/>
      <c r="QU92" s="111"/>
      <c r="QV92" s="111"/>
      <c r="QW92" s="111"/>
      <c r="QX92" s="111"/>
      <c r="QY92" s="111"/>
      <c r="QZ92" s="111"/>
      <c r="RA92" s="111"/>
      <c r="RB92" s="111"/>
      <c r="RC92" s="111"/>
      <c r="RD92" s="111"/>
      <c r="RE92" s="111"/>
      <c r="RF92" s="111"/>
      <c r="RG92" s="111"/>
      <c r="RH92" s="111"/>
      <c r="RI92" s="111"/>
      <c r="RJ92" s="111"/>
      <c r="RK92" s="111"/>
      <c r="RL92" s="111"/>
      <c r="RM92" s="111"/>
      <c r="RN92" s="111"/>
      <c r="RO92" s="111"/>
      <c r="RP92" s="111"/>
      <c r="RQ92" s="111"/>
      <c r="RR92" s="111"/>
      <c r="RS92" s="111"/>
      <c r="RT92" s="111"/>
      <c r="RU92" s="111"/>
      <c r="RV92" s="111"/>
      <c r="RW92" s="111"/>
      <c r="RX92" s="111"/>
      <c r="RY92" s="111"/>
      <c r="RZ92" s="111"/>
      <c r="SA92" s="111"/>
      <c r="SB92" s="111"/>
      <c r="SC92" s="111"/>
      <c r="SD92" s="111"/>
      <c r="SE92" s="111"/>
      <c r="SF92" s="111"/>
      <c r="SG92" s="111"/>
      <c r="SH92" s="111"/>
      <c r="SI92" s="111"/>
      <c r="SJ92" s="111"/>
      <c r="SK92" s="111"/>
      <c r="SL92" s="111"/>
      <c r="SM92" s="111"/>
      <c r="SN92" s="111"/>
      <c r="SO92" s="111"/>
      <c r="SP92" s="111"/>
      <c r="SQ92" s="111"/>
      <c r="SR92" s="111"/>
      <c r="SS92" s="111"/>
      <c r="ST92" s="111"/>
      <c r="SU92" s="111"/>
      <c r="SV92" s="111"/>
      <c r="SW92" s="111"/>
      <c r="SX92" s="111"/>
      <c r="SY92" s="111"/>
      <c r="SZ92" s="111"/>
      <c r="TA92" s="111"/>
      <c r="TB92" s="111"/>
      <c r="TC92" s="111"/>
      <c r="TD92" s="111"/>
      <c r="TE92" s="111"/>
      <c r="TF92" s="111"/>
      <c r="TG92" s="111"/>
      <c r="TH92" s="111"/>
      <c r="TI92" s="111"/>
      <c r="TJ92" s="111"/>
      <c r="TK92" s="111"/>
      <c r="TL92" s="111"/>
      <c r="TM92" s="111"/>
      <c r="TN92" s="111"/>
      <c r="TO92" s="111"/>
      <c r="TP92" s="111"/>
      <c r="TQ92" s="111"/>
      <c r="TR92" s="111"/>
      <c r="TS92" s="111"/>
      <c r="TT92" s="111"/>
      <c r="TU92" s="111"/>
      <c r="TV92" s="111"/>
      <c r="TW92" s="111"/>
      <c r="TX92" s="111"/>
      <c r="TY92" s="111"/>
      <c r="TZ92" s="111"/>
      <c r="UA92" s="111"/>
      <c r="UB92" s="111"/>
      <c r="UC92" s="111"/>
      <c r="UD92" s="111"/>
      <c r="UE92" s="111"/>
      <c r="UF92" s="111"/>
      <c r="UG92" s="111"/>
      <c r="UH92" s="111"/>
      <c r="UI92" s="111"/>
      <c r="UJ92" s="111"/>
      <c r="UK92" s="111"/>
      <c r="UL92" s="111"/>
      <c r="UM92" s="111"/>
      <c r="UN92" s="111"/>
      <c r="UO92" s="111"/>
      <c r="UP92" s="111"/>
      <c r="UQ92" s="111"/>
      <c r="UR92" s="111"/>
      <c r="US92" s="111"/>
      <c r="UT92" s="111"/>
      <c r="UU92" s="111"/>
      <c r="UV92" s="111"/>
      <c r="UW92" s="111"/>
      <c r="UX92" s="111"/>
      <c r="UY92" s="111"/>
      <c r="UZ92" s="111"/>
      <c r="VA92" s="111"/>
      <c r="VB92" s="111"/>
      <c r="VC92" s="111"/>
      <c r="VD92" s="111"/>
      <c r="VE92" s="111"/>
      <c r="VF92" s="111"/>
      <c r="VG92" s="111"/>
      <c r="VH92" s="111"/>
      <c r="VI92" s="111"/>
      <c r="VJ92" s="111"/>
      <c r="VK92" s="111"/>
      <c r="VL92" s="111"/>
      <c r="VM92" s="111"/>
    </row>
    <row r="93" spans="1:585" s="14" customFormat="1" ht="15" customHeight="1" x14ac:dyDescent="0.25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68"/>
      <c r="BM93" s="168"/>
      <c r="BN93" s="168"/>
      <c r="BO93" s="168"/>
      <c r="BP93" s="168"/>
      <c r="BQ93" s="168"/>
      <c r="BR93" s="168"/>
      <c r="BS93" s="168"/>
      <c r="BT93" s="168"/>
      <c r="BU93" s="168"/>
      <c r="BV93" s="168"/>
      <c r="BW93" s="168"/>
      <c r="BX93" s="168"/>
      <c r="BY93" s="168"/>
      <c r="BZ93" s="168"/>
      <c r="CA93" s="168"/>
      <c r="CB93" s="168"/>
      <c r="CC93" s="168"/>
      <c r="CD93" s="168"/>
      <c r="CE93" s="168"/>
      <c r="CF93" s="168"/>
      <c r="CG93" s="168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J93" s="111"/>
      <c r="FK93" s="111"/>
      <c r="FL93" s="111"/>
      <c r="FM93" s="111"/>
      <c r="FN93" s="111"/>
      <c r="FO93" s="111"/>
      <c r="FP93" s="111"/>
      <c r="FQ93" s="111"/>
      <c r="FR93" s="111"/>
      <c r="FS93" s="111"/>
      <c r="FT93" s="111"/>
      <c r="FU93" s="111"/>
      <c r="FV93" s="111"/>
      <c r="FW93" s="111"/>
      <c r="FX93" s="111"/>
      <c r="FY93" s="111"/>
      <c r="FZ93" s="111"/>
      <c r="GA93" s="111"/>
      <c r="GB93" s="111"/>
      <c r="GC93" s="111"/>
      <c r="GD93" s="111"/>
      <c r="GE93" s="111"/>
      <c r="GF93" s="111"/>
      <c r="GG93" s="111"/>
      <c r="GH93" s="111"/>
      <c r="GI93" s="111"/>
      <c r="GJ93" s="111"/>
      <c r="GK93" s="111"/>
      <c r="GL93" s="111"/>
      <c r="GM93" s="111"/>
      <c r="GN93" s="111"/>
      <c r="GO93" s="111"/>
      <c r="GP93" s="111"/>
      <c r="GQ93" s="111"/>
      <c r="GR93" s="111"/>
      <c r="GS93" s="111"/>
      <c r="GT93" s="111"/>
      <c r="GU93" s="111"/>
      <c r="GV93" s="111"/>
      <c r="GW93" s="111"/>
      <c r="GX93" s="111"/>
      <c r="GY93" s="111"/>
      <c r="GZ93" s="111"/>
      <c r="HA93" s="111"/>
      <c r="HB93" s="111"/>
      <c r="HC93" s="111"/>
      <c r="HD93" s="111"/>
      <c r="HE93" s="111"/>
      <c r="HF93" s="111"/>
      <c r="HG93" s="111"/>
      <c r="HH93" s="111"/>
      <c r="HI93" s="111"/>
      <c r="HJ93" s="111"/>
      <c r="HK93" s="111"/>
      <c r="HL93" s="111"/>
      <c r="HM93" s="111"/>
      <c r="HN93" s="111"/>
      <c r="HO93" s="111"/>
      <c r="HP93" s="111"/>
      <c r="HQ93" s="111"/>
      <c r="HR93" s="111"/>
      <c r="HS93" s="111"/>
      <c r="HT93" s="111"/>
      <c r="HU93" s="111"/>
      <c r="HV93" s="111"/>
      <c r="HW93" s="111"/>
      <c r="HX93" s="111"/>
      <c r="HY93" s="111"/>
      <c r="HZ93" s="111"/>
      <c r="IA93" s="111"/>
      <c r="IB93" s="111"/>
      <c r="IC93" s="111"/>
      <c r="ID93" s="111"/>
      <c r="IE93" s="111"/>
      <c r="IF93" s="111"/>
      <c r="IG93" s="111"/>
      <c r="IH93" s="111"/>
      <c r="II93" s="111"/>
      <c r="IJ93" s="111"/>
      <c r="IK93" s="111"/>
      <c r="IL93" s="111"/>
      <c r="IM93" s="111"/>
      <c r="IN93" s="111"/>
      <c r="IO93" s="111"/>
      <c r="IP93" s="111"/>
      <c r="IQ93" s="111"/>
      <c r="IR93" s="111"/>
      <c r="IS93" s="111"/>
      <c r="IT93" s="111"/>
      <c r="IU93" s="111"/>
      <c r="IV93" s="111"/>
      <c r="IW93" s="111"/>
      <c r="IX93" s="111"/>
      <c r="IY93" s="111"/>
      <c r="IZ93" s="111"/>
      <c r="JA93" s="111"/>
      <c r="JB93" s="111"/>
      <c r="JC93" s="111"/>
      <c r="JD93" s="111"/>
      <c r="JE93" s="111"/>
      <c r="JF93" s="111"/>
      <c r="JG93" s="111"/>
      <c r="JH93" s="111"/>
      <c r="JI93" s="111"/>
      <c r="JJ93" s="111"/>
      <c r="JK93" s="111"/>
      <c r="JL93" s="111"/>
      <c r="JM93" s="111"/>
      <c r="JN93" s="111"/>
      <c r="JO93" s="111"/>
      <c r="JP93" s="111"/>
      <c r="JQ93" s="111"/>
      <c r="JR93" s="111"/>
      <c r="JS93" s="111"/>
      <c r="JT93" s="111"/>
      <c r="JU93" s="111"/>
      <c r="JV93" s="111"/>
      <c r="JW93" s="111"/>
      <c r="JX93" s="111"/>
      <c r="JY93" s="111"/>
      <c r="JZ93" s="111"/>
      <c r="KA93" s="111"/>
      <c r="KB93" s="111"/>
      <c r="KC93" s="111"/>
      <c r="KD93" s="111"/>
      <c r="KE93" s="111"/>
      <c r="KF93" s="111"/>
      <c r="KG93" s="111"/>
      <c r="KH93" s="111"/>
      <c r="KI93" s="111"/>
      <c r="KJ93" s="111"/>
      <c r="KK93" s="111"/>
      <c r="KL93" s="111"/>
      <c r="KM93" s="111"/>
      <c r="KN93" s="111"/>
      <c r="KO93" s="111"/>
      <c r="KP93" s="111"/>
      <c r="KQ93" s="111"/>
      <c r="KR93" s="111"/>
      <c r="KS93" s="111"/>
      <c r="KT93" s="111"/>
      <c r="KU93" s="111"/>
      <c r="KV93" s="111"/>
      <c r="KW93" s="111"/>
      <c r="KX93" s="111"/>
      <c r="KY93" s="111"/>
      <c r="KZ93" s="111"/>
      <c r="LA93" s="111"/>
      <c r="LB93" s="111"/>
      <c r="LC93" s="111"/>
      <c r="LD93" s="111"/>
      <c r="LE93" s="111"/>
      <c r="LF93" s="111"/>
      <c r="LG93" s="111"/>
      <c r="LH93" s="111"/>
      <c r="LI93" s="111"/>
      <c r="LJ93" s="111"/>
      <c r="LK93" s="111"/>
      <c r="LL93" s="111"/>
      <c r="LM93" s="111"/>
      <c r="LN93" s="111"/>
      <c r="LO93" s="111"/>
      <c r="LP93" s="111"/>
      <c r="LQ93" s="111"/>
      <c r="LR93" s="111"/>
      <c r="LS93" s="111"/>
      <c r="LT93" s="111"/>
      <c r="LU93" s="111"/>
      <c r="LV93" s="111"/>
      <c r="LW93" s="111"/>
      <c r="LX93" s="111"/>
      <c r="LY93" s="111"/>
      <c r="LZ93" s="111"/>
      <c r="MA93" s="111"/>
      <c r="MB93" s="111"/>
      <c r="MC93" s="111"/>
      <c r="MD93" s="111"/>
      <c r="ME93" s="111"/>
      <c r="MF93" s="111"/>
      <c r="MG93" s="111"/>
      <c r="MH93" s="111"/>
      <c r="MI93" s="111"/>
      <c r="MJ93" s="111"/>
      <c r="MK93" s="111"/>
      <c r="ML93" s="111"/>
      <c r="MM93" s="111"/>
      <c r="MN93" s="111"/>
      <c r="MO93" s="111"/>
      <c r="MP93" s="111"/>
      <c r="MQ93" s="111"/>
      <c r="MR93" s="111"/>
      <c r="MS93" s="111"/>
      <c r="MT93" s="111"/>
      <c r="MU93" s="111"/>
      <c r="MV93" s="111"/>
      <c r="MW93" s="111"/>
      <c r="MX93" s="111"/>
      <c r="MY93" s="111"/>
      <c r="MZ93" s="111"/>
      <c r="NA93" s="111"/>
      <c r="NB93" s="111"/>
      <c r="NC93" s="111"/>
      <c r="ND93" s="111"/>
      <c r="NE93" s="111"/>
      <c r="NF93" s="111"/>
      <c r="NG93" s="111"/>
      <c r="NH93" s="111"/>
      <c r="NI93" s="111"/>
      <c r="NJ93" s="111"/>
      <c r="NK93" s="111"/>
      <c r="NL93" s="111"/>
      <c r="NM93" s="111"/>
      <c r="NN93" s="111"/>
      <c r="NO93" s="111"/>
      <c r="NP93" s="111"/>
      <c r="NQ93" s="111"/>
      <c r="NR93" s="111"/>
      <c r="NS93" s="111"/>
      <c r="NT93" s="111"/>
      <c r="NU93" s="111"/>
      <c r="NV93" s="111"/>
      <c r="NW93" s="111"/>
      <c r="NX93" s="111"/>
      <c r="NY93" s="111"/>
      <c r="NZ93" s="111"/>
      <c r="OA93" s="111"/>
      <c r="OB93" s="111"/>
      <c r="OC93" s="111"/>
      <c r="OD93" s="111"/>
      <c r="OE93" s="111"/>
      <c r="OF93" s="111"/>
      <c r="OG93" s="111"/>
      <c r="OH93" s="111"/>
      <c r="OI93" s="111"/>
      <c r="OJ93" s="111"/>
      <c r="OK93" s="111"/>
      <c r="OL93" s="111"/>
      <c r="OM93" s="111"/>
      <c r="ON93" s="111"/>
      <c r="OO93" s="111"/>
      <c r="OP93" s="111"/>
      <c r="OQ93" s="111"/>
      <c r="OR93" s="111"/>
      <c r="OS93" s="111"/>
      <c r="OT93" s="111"/>
      <c r="OU93" s="111"/>
      <c r="OV93" s="111"/>
      <c r="OW93" s="111"/>
      <c r="OX93" s="111"/>
      <c r="OY93" s="111"/>
      <c r="OZ93" s="111"/>
      <c r="PA93" s="111"/>
      <c r="PB93" s="111"/>
      <c r="PC93" s="111"/>
      <c r="PD93" s="111"/>
      <c r="PE93" s="111"/>
      <c r="PF93" s="111"/>
      <c r="PG93" s="111"/>
      <c r="PH93" s="111"/>
      <c r="PI93" s="111"/>
      <c r="PJ93" s="111"/>
      <c r="PK93" s="111"/>
      <c r="PL93" s="111"/>
      <c r="PM93" s="111"/>
      <c r="PN93" s="111"/>
      <c r="PO93" s="111"/>
      <c r="PP93" s="111"/>
      <c r="PQ93" s="111"/>
      <c r="PR93" s="111"/>
      <c r="PS93" s="111"/>
      <c r="PT93" s="111"/>
      <c r="PU93" s="111"/>
      <c r="PV93" s="111"/>
      <c r="PW93" s="111"/>
      <c r="PX93" s="111"/>
      <c r="PY93" s="111"/>
      <c r="PZ93" s="111"/>
      <c r="QA93" s="111"/>
      <c r="QB93" s="111"/>
      <c r="QC93" s="111"/>
      <c r="QD93" s="111"/>
      <c r="QE93" s="111"/>
      <c r="QF93" s="111"/>
      <c r="QG93" s="111"/>
      <c r="QH93" s="111"/>
      <c r="QI93" s="111"/>
      <c r="QJ93" s="111"/>
      <c r="QK93" s="111"/>
      <c r="QL93" s="111"/>
      <c r="QM93" s="111"/>
      <c r="QN93" s="111"/>
      <c r="QO93" s="111"/>
      <c r="QP93" s="111"/>
      <c r="QQ93" s="111"/>
      <c r="QR93" s="111"/>
      <c r="QS93" s="111"/>
      <c r="QT93" s="111"/>
      <c r="QU93" s="111"/>
      <c r="QV93" s="111"/>
      <c r="QW93" s="111"/>
      <c r="QX93" s="111"/>
      <c r="QY93" s="111"/>
      <c r="QZ93" s="111"/>
      <c r="RA93" s="111"/>
      <c r="RB93" s="111"/>
      <c r="RC93" s="111"/>
      <c r="RD93" s="111"/>
      <c r="RE93" s="111"/>
      <c r="RF93" s="111"/>
      <c r="RG93" s="111"/>
      <c r="RH93" s="111"/>
      <c r="RI93" s="111"/>
      <c r="RJ93" s="111"/>
      <c r="RK93" s="111"/>
      <c r="RL93" s="111"/>
      <c r="RM93" s="111"/>
      <c r="RN93" s="111"/>
      <c r="RO93" s="111"/>
      <c r="RP93" s="111"/>
      <c r="RQ93" s="111"/>
      <c r="RR93" s="111"/>
      <c r="RS93" s="111"/>
      <c r="RT93" s="111"/>
      <c r="RU93" s="111"/>
      <c r="RV93" s="111"/>
      <c r="RW93" s="111"/>
      <c r="RX93" s="111"/>
      <c r="RY93" s="111"/>
      <c r="RZ93" s="111"/>
      <c r="SA93" s="111"/>
      <c r="SB93" s="111"/>
      <c r="SC93" s="111"/>
      <c r="SD93" s="111"/>
      <c r="SE93" s="111"/>
      <c r="SF93" s="111"/>
      <c r="SG93" s="111"/>
      <c r="SH93" s="111"/>
      <c r="SI93" s="111"/>
      <c r="SJ93" s="111"/>
      <c r="SK93" s="111"/>
      <c r="SL93" s="111"/>
      <c r="SM93" s="111"/>
      <c r="SN93" s="111"/>
      <c r="SO93" s="111"/>
      <c r="SP93" s="111"/>
      <c r="SQ93" s="111"/>
      <c r="SR93" s="111"/>
      <c r="SS93" s="111"/>
      <c r="ST93" s="111"/>
      <c r="SU93" s="111"/>
      <c r="SV93" s="111"/>
      <c r="SW93" s="111"/>
      <c r="SX93" s="111"/>
      <c r="SY93" s="111"/>
      <c r="SZ93" s="111"/>
      <c r="TA93" s="111"/>
      <c r="TB93" s="111"/>
      <c r="TC93" s="111"/>
      <c r="TD93" s="111"/>
      <c r="TE93" s="111"/>
      <c r="TF93" s="111"/>
      <c r="TG93" s="111"/>
      <c r="TH93" s="111"/>
      <c r="TI93" s="111"/>
      <c r="TJ93" s="111"/>
      <c r="TK93" s="111"/>
      <c r="TL93" s="111"/>
      <c r="TM93" s="111"/>
      <c r="TN93" s="111"/>
      <c r="TO93" s="111"/>
      <c r="TP93" s="111"/>
      <c r="TQ93" s="111"/>
      <c r="TR93" s="111"/>
      <c r="TS93" s="111"/>
      <c r="TT93" s="111"/>
      <c r="TU93" s="111"/>
      <c r="TV93" s="111"/>
      <c r="TW93" s="111"/>
      <c r="TX93" s="111"/>
      <c r="TY93" s="111"/>
      <c r="TZ93" s="111"/>
      <c r="UA93" s="111"/>
      <c r="UB93" s="111"/>
      <c r="UC93" s="111"/>
      <c r="UD93" s="111"/>
      <c r="UE93" s="111"/>
      <c r="UF93" s="111"/>
      <c r="UG93" s="111"/>
      <c r="UH93" s="111"/>
      <c r="UI93" s="111"/>
      <c r="UJ93" s="111"/>
      <c r="UK93" s="111"/>
      <c r="UL93" s="111"/>
      <c r="UM93" s="111"/>
      <c r="UN93" s="111"/>
      <c r="UO93" s="111"/>
      <c r="UP93" s="111"/>
      <c r="UQ93" s="111"/>
      <c r="UR93" s="111"/>
      <c r="US93" s="111"/>
      <c r="UT93" s="111"/>
      <c r="UU93" s="111"/>
      <c r="UV93" s="111"/>
      <c r="UW93" s="111"/>
      <c r="UX93" s="111"/>
      <c r="UY93" s="111"/>
      <c r="UZ93" s="111"/>
      <c r="VA93" s="111"/>
      <c r="VB93" s="111"/>
      <c r="VC93" s="111"/>
      <c r="VD93" s="111"/>
      <c r="VE93" s="111"/>
      <c r="VF93" s="111"/>
      <c r="VG93" s="111"/>
      <c r="VH93" s="111"/>
      <c r="VI93" s="111"/>
      <c r="VJ93" s="111"/>
      <c r="VK93" s="111"/>
      <c r="VL93" s="111"/>
      <c r="VM93" s="111"/>
    </row>
    <row r="94" spans="1:585" ht="15" customHeight="1" x14ac:dyDescent="0.25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68"/>
      <c r="BM94" s="168"/>
      <c r="BN94" s="168"/>
      <c r="BO94" s="168"/>
      <c r="BP94" s="168"/>
      <c r="BQ94" s="168"/>
      <c r="BR94" s="168"/>
      <c r="BS94" s="168"/>
      <c r="BT94" s="168"/>
      <c r="BU94" s="168"/>
      <c r="BV94" s="168"/>
      <c r="BW94" s="168"/>
      <c r="BX94" s="168"/>
      <c r="BY94" s="168"/>
      <c r="BZ94" s="168"/>
      <c r="CA94" s="168"/>
      <c r="CB94" s="168"/>
      <c r="CC94" s="168"/>
      <c r="CD94" s="168"/>
      <c r="CE94" s="168"/>
      <c r="CF94" s="168"/>
      <c r="CG94" s="168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1"/>
      <c r="FG94" s="111"/>
      <c r="FH94" s="111"/>
      <c r="FI94" s="111"/>
      <c r="FJ94" s="111"/>
      <c r="FK94" s="111"/>
      <c r="FL94" s="111"/>
      <c r="FM94" s="111"/>
      <c r="FN94" s="111"/>
      <c r="FO94" s="111"/>
      <c r="FP94" s="111"/>
      <c r="FQ94" s="111"/>
      <c r="FR94" s="111"/>
      <c r="FS94" s="111"/>
      <c r="FT94" s="111"/>
      <c r="FU94" s="111"/>
      <c r="FV94" s="111"/>
      <c r="FW94" s="111"/>
      <c r="FX94" s="111"/>
      <c r="FY94" s="111"/>
      <c r="FZ94" s="111"/>
      <c r="GA94" s="111"/>
      <c r="GB94" s="111"/>
      <c r="GC94" s="111"/>
      <c r="GD94" s="111"/>
      <c r="GE94" s="111"/>
      <c r="GF94" s="111"/>
      <c r="GG94" s="111"/>
      <c r="GH94" s="111"/>
      <c r="GI94" s="111"/>
      <c r="GJ94" s="111"/>
      <c r="GK94" s="111"/>
      <c r="GL94" s="111"/>
      <c r="GM94" s="111"/>
      <c r="GN94" s="111"/>
      <c r="GO94" s="111"/>
      <c r="GP94" s="111"/>
      <c r="GQ94" s="111"/>
      <c r="GR94" s="111"/>
      <c r="GS94" s="111"/>
      <c r="GT94" s="111"/>
      <c r="GU94" s="111"/>
      <c r="GV94" s="111"/>
      <c r="GW94" s="111"/>
      <c r="GX94" s="111"/>
      <c r="GY94" s="111"/>
      <c r="GZ94" s="111"/>
      <c r="HA94" s="111"/>
      <c r="HB94" s="111"/>
      <c r="HC94" s="111"/>
      <c r="HD94" s="111"/>
      <c r="HE94" s="111"/>
      <c r="HF94" s="111"/>
      <c r="HG94" s="111"/>
      <c r="HH94" s="111"/>
      <c r="HI94" s="111"/>
      <c r="HJ94" s="111"/>
      <c r="HK94" s="111"/>
      <c r="HL94" s="111"/>
      <c r="HM94" s="111"/>
      <c r="HN94" s="111"/>
      <c r="HO94" s="111"/>
      <c r="HP94" s="111"/>
      <c r="HQ94" s="111"/>
      <c r="HR94" s="111"/>
      <c r="HS94" s="111"/>
      <c r="HT94" s="111"/>
      <c r="HU94" s="111"/>
      <c r="HV94" s="111"/>
      <c r="HW94" s="111"/>
      <c r="HX94" s="111"/>
      <c r="HY94" s="111"/>
      <c r="HZ94" s="111"/>
      <c r="IA94" s="111"/>
      <c r="IB94" s="111"/>
      <c r="IC94" s="111"/>
      <c r="ID94" s="111"/>
      <c r="IE94" s="111"/>
      <c r="IF94" s="111"/>
      <c r="IG94" s="111"/>
      <c r="IH94" s="111"/>
      <c r="II94" s="111"/>
      <c r="IJ94" s="111"/>
      <c r="IK94" s="111"/>
      <c r="IL94" s="111"/>
      <c r="IM94" s="111"/>
      <c r="IN94" s="111"/>
      <c r="IO94" s="111"/>
      <c r="IP94" s="111"/>
      <c r="IQ94" s="111"/>
      <c r="IR94" s="111"/>
      <c r="IS94" s="111"/>
      <c r="IT94" s="111"/>
      <c r="IU94" s="111"/>
      <c r="IV94" s="111"/>
      <c r="IW94" s="111"/>
      <c r="IX94" s="111"/>
      <c r="IY94" s="111"/>
      <c r="IZ94" s="111"/>
      <c r="JA94" s="111"/>
      <c r="JB94" s="111"/>
      <c r="JC94" s="111"/>
      <c r="JD94" s="111"/>
      <c r="JE94" s="111"/>
      <c r="JF94" s="111"/>
      <c r="JG94" s="111"/>
      <c r="JH94" s="111"/>
      <c r="JI94" s="111"/>
      <c r="JJ94" s="111"/>
      <c r="JK94" s="111"/>
      <c r="JL94" s="111"/>
      <c r="JM94" s="111"/>
      <c r="JN94" s="111"/>
      <c r="JO94" s="111"/>
      <c r="JP94" s="111"/>
      <c r="JQ94" s="111"/>
      <c r="JR94" s="111"/>
      <c r="JS94" s="111"/>
      <c r="JT94" s="111"/>
      <c r="JU94" s="111"/>
      <c r="JV94" s="111"/>
      <c r="JW94" s="111"/>
      <c r="JX94" s="111"/>
      <c r="JY94" s="111"/>
      <c r="JZ94" s="111"/>
      <c r="KA94" s="111"/>
      <c r="KB94" s="111"/>
      <c r="KC94" s="111"/>
      <c r="KD94" s="111"/>
      <c r="KE94" s="111"/>
      <c r="KF94" s="111"/>
      <c r="KG94" s="111"/>
      <c r="KH94" s="111"/>
      <c r="KI94" s="111"/>
      <c r="KJ94" s="111"/>
      <c r="KK94" s="111"/>
      <c r="KL94" s="111"/>
      <c r="KM94" s="111"/>
      <c r="KN94" s="111"/>
      <c r="KO94" s="111"/>
      <c r="KP94" s="111"/>
      <c r="KQ94" s="111"/>
      <c r="KR94" s="111"/>
      <c r="KS94" s="111"/>
      <c r="KT94" s="111"/>
      <c r="KU94" s="111"/>
      <c r="KV94" s="111"/>
      <c r="KW94" s="111"/>
      <c r="KX94" s="111"/>
      <c r="KY94" s="111"/>
      <c r="KZ94" s="111"/>
      <c r="LA94" s="111"/>
      <c r="LB94" s="111"/>
      <c r="LC94" s="111"/>
      <c r="LD94" s="111"/>
      <c r="LE94" s="111"/>
      <c r="LF94" s="111"/>
      <c r="LG94" s="111"/>
      <c r="LH94" s="111"/>
      <c r="LI94" s="111"/>
      <c r="LJ94" s="111"/>
      <c r="LK94" s="111"/>
      <c r="LL94" s="111"/>
      <c r="LM94" s="111"/>
      <c r="LN94" s="111"/>
      <c r="LO94" s="111"/>
      <c r="LP94" s="111"/>
      <c r="LQ94" s="111"/>
      <c r="LR94" s="111"/>
      <c r="LS94" s="111"/>
      <c r="LT94" s="111"/>
      <c r="LU94" s="111"/>
      <c r="LV94" s="111"/>
      <c r="LW94" s="111"/>
      <c r="LX94" s="111"/>
      <c r="LY94" s="111"/>
      <c r="LZ94" s="111"/>
      <c r="MA94" s="111"/>
      <c r="MB94" s="111"/>
      <c r="MC94" s="111"/>
      <c r="MD94" s="111"/>
      <c r="ME94" s="111"/>
      <c r="MF94" s="111"/>
      <c r="MG94" s="111"/>
      <c r="MH94" s="111"/>
      <c r="MI94" s="111"/>
      <c r="MJ94" s="111"/>
      <c r="MK94" s="111"/>
      <c r="ML94" s="111"/>
      <c r="MM94" s="111"/>
      <c r="MN94" s="111"/>
      <c r="MO94" s="111"/>
      <c r="MP94" s="111"/>
      <c r="MQ94" s="111"/>
      <c r="MR94" s="111"/>
      <c r="MS94" s="111"/>
      <c r="MT94" s="111"/>
      <c r="MU94" s="111"/>
      <c r="MV94" s="111"/>
      <c r="MW94" s="111"/>
      <c r="MX94" s="111"/>
      <c r="MY94" s="111"/>
      <c r="MZ94" s="111"/>
      <c r="NA94" s="111"/>
      <c r="NB94" s="111"/>
      <c r="NC94" s="111"/>
      <c r="ND94" s="111"/>
      <c r="NE94" s="111"/>
      <c r="NF94" s="111"/>
      <c r="NG94" s="111"/>
      <c r="NH94" s="111"/>
      <c r="NI94" s="111"/>
      <c r="NJ94" s="111"/>
      <c r="NK94" s="111"/>
      <c r="NL94" s="111"/>
      <c r="NM94" s="111"/>
      <c r="NN94" s="111"/>
      <c r="NO94" s="111"/>
      <c r="NP94" s="111"/>
      <c r="NQ94" s="111"/>
      <c r="NR94" s="111"/>
      <c r="NS94" s="111"/>
      <c r="NT94" s="111"/>
      <c r="NU94" s="111"/>
      <c r="NV94" s="111"/>
      <c r="NW94" s="111"/>
      <c r="NX94" s="111"/>
      <c r="NY94" s="111"/>
      <c r="NZ94" s="111"/>
      <c r="OA94" s="111"/>
      <c r="OB94" s="111"/>
      <c r="OC94" s="111"/>
      <c r="OD94" s="111"/>
      <c r="OE94" s="111"/>
      <c r="OF94" s="111"/>
      <c r="OG94" s="111"/>
      <c r="OH94" s="111"/>
      <c r="OI94" s="111"/>
      <c r="OJ94" s="111"/>
      <c r="OK94" s="111"/>
      <c r="OL94" s="111"/>
      <c r="OM94" s="111"/>
      <c r="ON94" s="111"/>
      <c r="OO94" s="111"/>
      <c r="OP94" s="111"/>
      <c r="OQ94" s="111"/>
      <c r="OR94" s="111"/>
      <c r="OS94" s="111"/>
      <c r="OT94" s="111"/>
      <c r="OU94" s="111"/>
      <c r="OV94" s="111"/>
      <c r="OW94" s="111"/>
      <c r="OX94" s="111"/>
      <c r="OY94" s="111"/>
      <c r="OZ94" s="111"/>
      <c r="PA94" s="111"/>
      <c r="PB94" s="111"/>
      <c r="PC94" s="111"/>
      <c r="PD94" s="111"/>
      <c r="PE94" s="111"/>
      <c r="PF94" s="111"/>
      <c r="PG94" s="111"/>
      <c r="PH94" s="111"/>
      <c r="PI94" s="111"/>
      <c r="PJ94" s="111"/>
      <c r="PK94" s="111"/>
      <c r="PL94" s="111"/>
      <c r="PM94" s="111"/>
      <c r="PN94" s="111"/>
      <c r="PO94" s="111"/>
      <c r="PP94" s="111"/>
      <c r="PQ94" s="111"/>
      <c r="PR94" s="111"/>
      <c r="PS94" s="111"/>
      <c r="PT94" s="111"/>
      <c r="PU94" s="111"/>
      <c r="PV94" s="111"/>
      <c r="PW94" s="111"/>
      <c r="PX94" s="111"/>
      <c r="PY94" s="111"/>
      <c r="PZ94" s="111"/>
      <c r="QA94" s="111"/>
      <c r="QB94" s="111"/>
      <c r="QC94" s="111"/>
      <c r="QD94" s="111"/>
      <c r="QE94" s="111"/>
      <c r="QF94" s="111"/>
      <c r="QG94" s="111"/>
      <c r="QH94" s="111"/>
      <c r="QI94" s="111"/>
      <c r="QJ94" s="111"/>
      <c r="QK94" s="111"/>
      <c r="QL94" s="111"/>
      <c r="QM94" s="111"/>
      <c r="QN94" s="111"/>
      <c r="QO94" s="111"/>
      <c r="QP94" s="111"/>
      <c r="QQ94" s="111"/>
      <c r="QR94" s="111"/>
      <c r="QS94" s="111"/>
      <c r="QT94" s="111"/>
      <c r="QU94" s="111"/>
      <c r="QV94" s="111"/>
      <c r="QW94" s="111"/>
      <c r="QX94" s="111"/>
      <c r="QY94" s="111"/>
      <c r="QZ94" s="111"/>
      <c r="RA94" s="111"/>
      <c r="RB94" s="111"/>
      <c r="RC94" s="111"/>
      <c r="RD94" s="111"/>
      <c r="RE94" s="111"/>
      <c r="RF94" s="111"/>
      <c r="RG94" s="111"/>
      <c r="RH94" s="111"/>
      <c r="RI94" s="111"/>
      <c r="RJ94" s="111"/>
      <c r="RK94" s="111"/>
      <c r="RL94" s="111"/>
      <c r="RM94" s="111"/>
      <c r="RN94" s="111"/>
      <c r="RO94" s="111"/>
      <c r="RP94" s="111"/>
      <c r="RQ94" s="111"/>
      <c r="RR94" s="111"/>
      <c r="RS94" s="111"/>
      <c r="RT94" s="111"/>
      <c r="RU94" s="111"/>
      <c r="RV94" s="111"/>
      <c r="RW94" s="111"/>
      <c r="RX94" s="111"/>
      <c r="RY94" s="111"/>
      <c r="RZ94" s="111"/>
      <c r="SA94" s="111"/>
      <c r="SB94" s="111"/>
      <c r="SC94" s="111"/>
      <c r="SD94" s="111"/>
      <c r="SE94" s="111"/>
      <c r="SF94" s="111"/>
      <c r="SG94" s="111"/>
      <c r="SH94" s="111"/>
      <c r="SI94" s="111"/>
      <c r="SJ94" s="111"/>
      <c r="SK94" s="111"/>
      <c r="SL94" s="111"/>
      <c r="SM94" s="111"/>
      <c r="SN94" s="111"/>
      <c r="SO94" s="111"/>
      <c r="SP94" s="111"/>
      <c r="SQ94" s="111"/>
      <c r="SR94" s="111"/>
      <c r="SS94" s="111"/>
      <c r="ST94" s="111"/>
      <c r="SU94" s="111"/>
      <c r="SV94" s="111"/>
      <c r="SW94" s="111"/>
      <c r="SX94" s="111"/>
      <c r="SY94" s="111"/>
      <c r="SZ94" s="111"/>
      <c r="TA94" s="111"/>
      <c r="TB94" s="111"/>
      <c r="TC94" s="111"/>
      <c r="TD94" s="111"/>
      <c r="TE94" s="111"/>
      <c r="TF94" s="111"/>
      <c r="TG94" s="111"/>
      <c r="TH94" s="111"/>
      <c r="TI94" s="111"/>
      <c r="TJ94" s="111"/>
      <c r="TK94" s="111"/>
      <c r="TL94" s="111"/>
      <c r="TM94" s="111"/>
      <c r="TN94" s="111"/>
      <c r="TO94" s="111"/>
      <c r="TP94" s="111"/>
      <c r="TQ94" s="111"/>
      <c r="TR94" s="111"/>
      <c r="TS94" s="111"/>
      <c r="TT94" s="111"/>
      <c r="TU94" s="111"/>
      <c r="TV94" s="111"/>
      <c r="TW94" s="111"/>
      <c r="TX94" s="111"/>
      <c r="TY94" s="111"/>
      <c r="TZ94" s="111"/>
      <c r="UA94" s="111"/>
      <c r="UB94" s="111"/>
      <c r="UC94" s="111"/>
      <c r="UD94" s="111"/>
      <c r="UE94" s="111"/>
      <c r="UF94" s="111"/>
      <c r="UG94" s="111"/>
      <c r="UH94" s="111"/>
      <c r="UI94" s="111"/>
      <c r="UJ94" s="111"/>
      <c r="UK94" s="111"/>
      <c r="UL94" s="111"/>
      <c r="UM94" s="111"/>
      <c r="UN94" s="111"/>
      <c r="UO94" s="111"/>
      <c r="UP94" s="111"/>
      <c r="UQ94" s="111"/>
      <c r="UR94" s="111"/>
      <c r="US94" s="111"/>
      <c r="UT94" s="111"/>
      <c r="UU94" s="111"/>
      <c r="UV94" s="111"/>
      <c r="UW94" s="111"/>
      <c r="UX94" s="111"/>
      <c r="UY94" s="111"/>
      <c r="UZ94" s="111"/>
      <c r="VA94" s="111"/>
      <c r="VB94" s="111"/>
      <c r="VC94" s="111"/>
      <c r="VD94" s="111"/>
      <c r="VE94" s="111"/>
      <c r="VF94" s="111"/>
      <c r="VG94" s="111"/>
      <c r="VH94" s="111"/>
      <c r="VI94" s="111"/>
      <c r="VJ94" s="111"/>
      <c r="VK94" s="111"/>
      <c r="VL94" s="111"/>
      <c r="VM94" s="111"/>
    </row>
    <row r="95" spans="1:585" ht="15" customHeight="1" x14ac:dyDescent="0.25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168"/>
      <c r="CB95" s="168"/>
      <c r="CC95" s="168"/>
      <c r="CD95" s="168"/>
      <c r="CE95" s="168"/>
      <c r="CF95" s="168"/>
      <c r="CG95" s="168"/>
    </row>
    <row r="96" spans="1:585" ht="15" customHeight="1" x14ac:dyDescent="0.25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68"/>
      <c r="BM96" s="168"/>
      <c r="BN96" s="168"/>
      <c r="BO96" s="168"/>
      <c r="BP96" s="168"/>
      <c r="BQ96" s="168"/>
      <c r="BR96" s="168"/>
      <c r="BS96" s="168"/>
      <c r="BT96" s="168"/>
      <c r="BU96" s="168"/>
      <c r="BV96" s="168"/>
      <c r="BW96" s="168"/>
      <c r="BX96" s="168"/>
      <c r="BY96" s="168"/>
      <c r="BZ96" s="168"/>
      <c r="CA96" s="168"/>
      <c r="CB96" s="168"/>
      <c r="CC96" s="168"/>
      <c r="CD96" s="168"/>
      <c r="CE96" s="168"/>
      <c r="CF96" s="168"/>
      <c r="CG96" s="168"/>
    </row>
    <row r="97" spans="1:66" ht="15.75" x14ac:dyDescent="0.25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66" ht="15.75" x14ac:dyDescent="0.25">
      <c r="A98" s="10"/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66" ht="15.75" customHeight="1" x14ac:dyDescent="0.25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</row>
    <row r="100" spans="1:66" ht="17.25" customHeight="1" x14ac:dyDescent="0.25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</row>
    <row r="101" spans="1:66" ht="16.5" customHeight="1" x14ac:dyDescent="0.25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</row>
    <row r="102" spans="1:66" ht="15" customHeight="1" x14ac:dyDescent="0.25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</row>
    <row r="103" spans="1:66" ht="15" customHeight="1" x14ac:dyDescent="0.25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</row>
    <row r="104" spans="1:66" ht="15" customHeight="1" x14ac:dyDescent="0.25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</row>
    <row r="105" spans="1:66" ht="15" customHeight="1" x14ac:dyDescent="0.25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</row>
    <row r="106" spans="1:66" ht="15" customHeight="1" x14ac:dyDescent="0.25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</row>
    <row r="107" spans="1:66" ht="15" customHeight="1" x14ac:dyDescent="0.25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</row>
    <row r="108" spans="1:66" ht="15" customHeight="1" x14ac:dyDescent="0.25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</row>
    <row r="109" spans="1:66" ht="15" customHeight="1" x14ac:dyDescent="0.25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</row>
    <row r="110" spans="1:66" ht="15" customHeight="1" x14ac:dyDescent="0.25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</row>
    <row r="111" spans="1:66" ht="15" customHeight="1" x14ac:dyDescent="0.25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</row>
    <row r="112" spans="1:66" ht="15" customHeight="1" x14ac:dyDescent="0.25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</row>
    <row r="113" spans="1:66" ht="15" customHeight="1" x14ac:dyDescent="0.25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</row>
    <row r="114" spans="1:66" ht="15" customHeight="1" x14ac:dyDescent="0.25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</row>
    <row r="115" spans="1:66" ht="15" customHeight="1" x14ac:dyDescent="0.25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</row>
    <row r="116" spans="1:66" ht="15" customHeight="1" x14ac:dyDescent="0.25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</row>
    <row r="117" spans="1:66" ht="15" customHeight="1" x14ac:dyDescent="0.25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</row>
    <row r="118" spans="1:66" ht="15" customHeight="1" x14ac:dyDescent="0.25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</row>
    <row r="119" spans="1:66" ht="15" customHeight="1" x14ac:dyDescent="0.25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</row>
    <row r="120" spans="1:66" ht="15" customHeight="1" x14ac:dyDescent="0.25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</row>
    <row r="121" spans="1:66" ht="15" customHeight="1" x14ac:dyDescent="0.25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</row>
    <row r="122" spans="1:66" ht="15" customHeight="1" x14ac:dyDescent="0.25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</row>
    <row r="123" spans="1:66" ht="15" customHeight="1" x14ac:dyDescent="0.25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</row>
    <row r="124" spans="1:66" ht="15" customHeight="1" x14ac:dyDescent="0.25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</row>
    <row r="125" spans="1:66" ht="15" customHeight="1" x14ac:dyDescent="0.25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</row>
    <row r="126" spans="1:66" ht="15" customHeight="1" x14ac:dyDescent="0.25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</row>
    <row r="127" spans="1:66" ht="15" customHeight="1" x14ac:dyDescent="0.25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</row>
    <row r="128" spans="1:66" ht="15" customHeight="1" x14ac:dyDescent="0.25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</row>
    <row r="129" spans="1:66" ht="15" customHeight="1" x14ac:dyDescent="0.25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</row>
    <row r="130" spans="1:66" ht="15" customHeight="1" x14ac:dyDescent="0.25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</row>
    <row r="131" spans="1:66" ht="15" customHeight="1" x14ac:dyDescent="0.25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</row>
    <row r="132" spans="1:66" ht="15" customHeight="1" x14ac:dyDescent="0.25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</row>
    <row r="133" spans="1:66" ht="15" customHeight="1" x14ac:dyDescent="0.25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</row>
    <row r="134" spans="1:66" ht="15.75" customHeight="1" thickBot="1" x14ac:dyDescent="0.3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</row>
    <row r="135" spans="1:66" ht="15.75" customHeight="1" thickBot="1" x14ac:dyDescent="0.3">
      <c r="A135" s="132"/>
      <c r="B135" s="203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</row>
    <row r="136" spans="1:66" ht="15" customHeight="1" x14ac:dyDescent="0.25">
      <c r="A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</row>
    <row r="137" spans="1:66" ht="15" customHeight="1" x14ac:dyDescent="0.25">
      <c r="A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</row>
    <row r="138" spans="1:66" ht="15" customHeight="1" x14ac:dyDescent="0.25"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</row>
    <row r="139" spans="1:66" ht="15" customHeight="1" x14ac:dyDescent="0.25"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</row>
  </sheetData>
  <mergeCells count="86">
    <mergeCell ref="AA48:AB48"/>
    <mergeCell ref="G48:G49"/>
    <mergeCell ref="H48:H49"/>
    <mergeCell ref="I48:J48"/>
    <mergeCell ref="W7:X7"/>
    <mergeCell ref="Y7:Z7"/>
    <mergeCell ref="I7:J7"/>
    <mergeCell ref="K7:L7"/>
    <mergeCell ref="M7:N7"/>
    <mergeCell ref="O7:P7"/>
    <mergeCell ref="Q7:R7"/>
    <mergeCell ref="K48:L48"/>
    <mergeCell ref="M48:N48"/>
    <mergeCell ref="W48:X48"/>
    <mergeCell ref="Y48:Z48"/>
    <mergeCell ref="C48:C49"/>
    <mergeCell ref="D48:D49"/>
    <mergeCell ref="E48:E49"/>
    <mergeCell ref="F48:F49"/>
    <mergeCell ref="A48:A49"/>
    <mergeCell ref="AT7:AT8"/>
    <mergeCell ref="A46:A47"/>
    <mergeCell ref="AG7:AH7"/>
    <mergeCell ref="F7:F8"/>
    <mergeCell ref="A7:A8"/>
    <mergeCell ref="B7:B8"/>
    <mergeCell ref="C7:C8"/>
    <mergeCell ref="D7:D8"/>
    <mergeCell ref="E7:E8"/>
    <mergeCell ref="G7:G8"/>
    <mergeCell ref="H7:H8"/>
    <mergeCell ref="AA7:AB7"/>
    <mergeCell ref="AC7:AD7"/>
    <mergeCell ref="AE7:AF7"/>
    <mergeCell ref="AI46:AI47"/>
    <mergeCell ref="AJ46:AJ47"/>
    <mergeCell ref="BO46:BO47"/>
    <mergeCell ref="AM46:AM47"/>
    <mergeCell ref="AX7:AX8"/>
    <mergeCell ref="AW7:AW8"/>
    <mergeCell ref="BA7:BA8"/>
    <mergeCell ref="AY7:AY8"/>
    <mergeCell ref="AZ7:AZ8"/>
    <mergeCell ref="AV7:AV8"/>
    <mergeCell ref="AO7:AO8"/>
    <mergeCell ref="AP7:AP8"/>
    <mergeCell ref="AQ7:AQ8"/>
    <mergeCell ref="AM7:AM8"/>
    <mergeCell ref="AN7:AN8"/>
    <mergeCell ref="AU7:AU8"/>
    <mergeCell ref="AS7:AS8"/>
    <mergeCell ref="AR7:AR8"/>
    <mergeCell ref="AM48:AM49"/>
    <mergeCell ref="AN48:AN49"/>
    <mergeCell ref="AC48:AD48"/>
    <mergeCell ref="AE48:AF48"/>
    <mergeCell ref="AG48:AH48"/>
    <mergeCell ref="AI48:AJ48"/>
    <mergeCell ref="AK48:AK49"/>
    <mergeCell ref="AL48:AL49"/>
    <mergeCell ref="AK46:AK47"/>
    <mergeCell ref="AL46:AL47"/>
    <mergeCell ref="S7:T7"/>
    <mergeCell ref="U7:V7"/>
    <mergeCell ref="AI7:AJ7"/>
    <mergeCell ref="AK7:AK8"/>
    <mergeCell ref="AL7:AL8"/>
    <mergeCell ref="AO48:AO49"/>
    <mergeCell ref="AP48:AP49"/>
    <mergeCell ref="AQ48:AQ49"/>
    <mergeCell ref="AR48:AR49"/>
    <mergeCell ref="AS48:AS49"/>
    <mergeCell ref="AT48:AT49"/>
    <mergeCell ref="AU48:AU49"/>
    <mergeCell ref="AV48:AV49"/>
    <mergeCell ref="AW48:AW49"/>
    <mergeCell ref="AX48:AX49"/>
    <mergeCell ref="BD48:BD49"/>
    <mergeCell ref="BE48:BE49"/>
    <mergeCell ref="BF48:BF49"/>
    <mergeCell ref="BG48:BG49"/>
    <mergeCell ref="AY48:AY49"/>
    <mergeCell ref="AZ48:AZ49"/>
    <mergeCell ref="BA48:BA49"/>
    <mergeCell ref="BB48:BB49"/>
    <mergeCell ref="BC48:BC49"/>
  </mergeCells>
  <pageMargins left="0.21" right="0.70866141732283472" top="0.17" bottom="0.16" header="0.17" footer="0.16"/>
  <pageSetup paperSize="9" orientation="landscape" verticalDpi="0" r:id="rId1"/>
  <ignoredErrors>
    <ignoredError sqref="AH82 AJ8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133"/>
  <sheetViews>
    <sheetView topLeftCell="A49" zoomScaleNormal="100" workbookViewId="0">
      <selection activeCell="C1" sqref="C1:AM1048576"/>
    </sheetView>
  </sheetViews>
  <sheetFormatPr defaultRowHeight="15" x14ac:dyDescent="0.25"/>
  <cols>
    <col min="1" max="1" width="5.140625" customWidth="1"/>
    <col min="2" max="2" width="9.7109375" hidden="1" customWidth="1"/>
    <col min="3" max="3" width="25.28515625" customWidth="1"/>
    <col min="4" max="4" width="8" customWidth="1"/>
    <col min="5" max="5" width="6.85546875" customWidth="1"/>
    <col min="6" max="6" width="7.7109375" customWidth="1"/>
    <col min="7" max="7" width="7" customWidth="1"/>
    <col min="8" max="8" width="9.85546875" customWidth="1"/>
    <col min="9" max="9" width="9.140625" customWidth="1"/>
    <col min="10" max="10" width="10.85546875" customWidth="1"/>
    <col min="11" max="11" width="10.42578125" customWidth="1"/>
    <col min="12" max="12" width="11.42578125" customWidth="1"/>
    <col min="13" max="13" width="11.28515625" customWidth="1"/>
    <col min="14" max="14" width="11.42578125" customWidth="1"/>
    <col min="15" max="15" width="11.140625" customWidth="1"/>
    <col min="16" max="16" width="12" customWidth="1"/>
    <col min="17" max="32" width="13.28515625" customWidth="1"/>
    <col min="33" max="33" width="14.140625" customWidth="1"/>
    <col min="34" max="35" width="13.28515625" customWidth="1"/>
    <col min="36" max="36" width="13.5703125" customWidth="1"/>
    <col min="37" max="37" width="13.140625" customWidth="1"/>
    <col min="38" max="38" width="12.85546875" customWidth="1"/>
    <col min="39" max="39" width="11.85546875" customWidth="1"/>
    <col min="40" max="40" width="10.42578125" customWidth="1"/>
    <col min="41" max="41" width="11" customWidth="1"/>
    <col min="42" max="42" width="12.42578125" customWidth="1"/>
    <col min="43" max="43" width="11.28515625" customWidth="1"/>
    <col min="44" max="44" width="10.42578125" customWidth="1"/>
    <col min="45" max="45" width="11.42578125" customWidth="1"/>
    <col min="46" max="47" width="10.140625" hidden="1" customWidth="1"/>
    <col min="48" max="48" width="10" customWidth="1"/>
    <col min="49" max="51" width="9.140625" customWidth="1"/>
    <col min="52" max="52" width="11" customWidth="1"/>
    <col min="53" max="53" width="10.85546875" customWidth="1"/>
    <col min="54" max="54" width="9.140625" customWidth="1"/>
    <col min="55" max="55" width="10.5703125" hidden="1" customWidth="1"/>
    <col min="56" max="56" width="11.140625" customWidth="1"/>
    <col min="57" max="57" width="12.85546875" customWidth="1"/>
    <col min="58" max="58" width="9.140625" customWidth="1"/>
    <col min="59" max="59" width="10" customWidth="1"/>
    <col min="60" max="60" width="10.42578125" customWidth="1"/>
    <col min="61" max="65" width="9.140625" customWidth="1"/>
    <col min="66" max="66" width="9.85546875" customWidth="1"/>
    <col min="67" max="68" width="10.5703125" customWidth="1"/>
    <col min="69" max="70" width="9.140625" customWidth="1"/>
    <col min="71" max="71" width="10.7109375" customWidth="1"/>
    <col min="72" max="72" width="9.140625" customWidth="1"/>
    <col min="73" max="73" width="10.5703125" customWidth="1"/>
    <col min="74" max="74" width="9.85546875" customWidth="1"/>
  </cols>
  <sheetData>
    <row r="2" spans="1:74" ht="15.75" x14ac:dyDescent="0.25">
      <c r="A2" s="10"/>
      <c r="B2" s="10"/>
      <c r="C2" s="11" t="s">
        <v>337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W2" s="111"/>
      <c r="AX2" s="111"/>
      <c r="AY2" s="111"/>
      <c r="AZ2" s="111"/>
      <c r="BA2" s="111"/>
    </row>
    <row r="3" spans="1:74" ht="15.75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W3" s="111"/>
      <c r="AX3" s="111"/>
      <c r="AY3" s="111"/>
      <c r="AZ3" s="111"/>
      <c r="BA3" s="111"/>
    </row>
    <row r="4" spans="1:74" ht="15.75" x14ac:dyDescent="0.2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W4" s="111"/>
      <c r="AX4" s="111"/>
      <c r="AY4" s="111"/>
      <c r="AZ4" s="111"/>
      <c r="BA4" s="111"/>
    </row>
    <row r="5" spans="1:74" ht="15.7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W5" s="111"/>
      <c r="AX5" s="111"/>
      <c r="AY5" s="111"/>
      <c r="AZ5" s="111"/>
      <c r="BA5" s="111"/>
    </row>
    <row r="6" spans="1:74" ht="18" x14ac:dyDescent="0.25">
      <c r="A6" s="10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W6" s="93"/>
      <c r="AX6" s="93"/>
      <c r="AY6" s="93"/>
      <c r="AZ6" s="93"/>
      <c r="BA6" s="93"/>
    </row>
    <row r="7" spans="1:74" ht="55.5" customHeight="1" x14ac:dyDescent="0.25">
      <c r="A7" s="915" t="s">
        <v>0</v>
      </c>
      <c r="B7" s="860"/>
      <c r="C7" s="915" t="s">
        <v>130</v>
      </c>
      <c r="D7" s="915" t="s">
        <v>43</v>
      </c>
      <c r="E7" s="915" t="s">
        <v>44</v>
      </c>
      <c r="F7" s="915" t="s">
        <v>45</v>
      </c>
      <c r="G7" s="915" t="s">
        <v>46</v>
      </c>
      <c r="H7" s="915" t="s">
        <v>1</v>
      </c>
      <c r="I7" s="860" t="s">
        <v>178</v>
      </c>
      <c r="J7" s="865" t="s">
        <v>224</v>
      </c>
      <c r="K7" s="866"/>
      <c r="L7" s="890" t="s">
        <v>241</v>
      </c>
      <c r="M7" s="891"/>
      <c r="N7" s="865" t="s">
        <v>265</v>
      </c>
      <c r="O7" s="866"/>
      <c r="P7" s="890" t="s">
        <v>330</v>
      </c>
      <c r="Q7" s="891"/>
      <c r="R7" s="865" t="s">
        <v>331</v>
      </c>
      <c r="S7" s="866"/>
      <c r="T7" s="865" t="s">
        <v>332</v>
      </c>
      <c r="U7" s="866"/>
      <c r="V7" s="865" t="s">
        <v>250</v>
      </c>
      <c r="W7" s="866"/>
      <c r="X7" s="865" t="s">
        <v>333</v>
      </c>
      <c r="Y7" s="866"/>
      <c r="Z7" s="865" t="s">
        <v>225</v>
      </c>
      <c r="AA7" s="866"/>
      <c r="AB7" s="865" t="s">
        <v>334</v>
      </c>
      <c r="AC7" s="866"/>
      <c r="AD7" s="969" t="s">
        <v>186</v>
      </c>
      <c r="AE7" s="970"/>
      <c r="AF7" s="969" t="s">
        <v>247</v>
      </c>
      <c r="AG7" s="970"/>
      <c r="AH7" s="969" t="s">
        <v>243</v>
      </c>
      <c r="AI7" s="970"/>
      <c r="AJ7" s="867" t="s">
        <v>336</v>
      </c>
      <c r="AK7" s="867"/>
      <c r="AL7" s="868" t="s">
        <v>233</v>
      </c>
      <c r="AM7" s="881" t="s">
        <v>241</v>
      </c>
      <c r="AN7" s="877" t="s">
        <v>242</v>
      </c>
      <c r="AO7" s="862" t="s">
        <v>224</v>
      </c>
      <c r="AP7" s="862" t="s">
        <v>339</v>
      </c>
      <c r="AQ7" s="862" t="s">
        <v>3</v>
      </c>
      <c r="AR7" s="862" t="s">
        <v>249</v>
      </c>
      <c r="AS7" s="875" t="s">
        <v>340</v>
      </c>
      <c r="AT7" s="873" t="s">
        <v>272</v>
      </c>
      <c r="AU7" s="875" t="s">
        <v>198</v>
      </c>
      <c r="AV7" s="862" t="s">
        <v>250</v>
      </c>
      <c r="AW7" s="877" t="s">
        <v>240</v>
      </c>
      <c r="AX7" s="877" t="s">
        <v>265</v>
      </c>
      <c r="AY7" s="888" t="s">
        <v>341</v>
      </c>
      <c r="AZ7" s="879" t="s">
        <v>251</v>
      </c>
      <c r="BA7" s="881" t="s">
        <v>189</v>
      </c>
      <c r="BB7" s="877" t="s">
        <v>203</v>
      </c>
      <c r="BC7" s="882" t="s">
        <v>275</v>
      </c>
      <c r="BD7" s="879" t="s">
        <v>257</v>
      </c>
      <c r="BE7" s="888" t="s">
        <v>367</v>
      </c>
      <c r="BF7" s="888"/>
      <c r="BG7" s="1000"/>
      <c r="BH7" s="928"/>
      <c r="BI7" s="928"/>
      <c r="BJ7" s="888"/>
      <c r="BK7" s="888"/>
      <c r="BL7" s="868"/>
      <c r="BM7" s="888"/>
      <c r="BN7" s="888"/>
      <c r="BO7" s="888"/>
      <c r="BP7" s="888"/>
      <c r="BQ7" s="985"/>
      <c r="BR7" s="964"/>
      <c r="BS7" s="964"/>
      <c r="BT7" s="964"/>
      <c r="BU7" s="972" t="s">
        <v>228</v>
      </c>
      <c r="BV7" s="972" t="s">
        <v>229</v>
      </c>
    </row>
    <row r="8" spans="1:74" ht="68.25" customHeight="1" x14ac:dyDescent="0.25">
      <c r="A8" s="915"/>
      <c r="B8" s="861"/>
      <c r="C8" s="915"/>
      <c r="D8" s="915"/>
      <c r="E8" s="915"/>
      <c r="F8" s="915"/>
      <c r="G8" s="915"/>
      <c r="H8" s="915"/>
      <c r="I8" s="861"/>
      <c r="J8" s="82" t="s">
        <v>4</v>
      </c>
      <c r="K8" s="448" t="s">
        <v>5</v>
      </c>
      <c r="L8" s="82" t="s">
        <v>4</v>
      </c>
      <c r="M8" s="448" t="s">
        <v>5</v>
      </c>
      <c r="N8" s="82" t="s">
        <v>4</v>
      </c>
      <c r="O8" s="448" t="s">
        <v>5</v>
      </c>
      <c r="P8" s="41" t="s">
        <v>4</v>
      </c>
      <c r="Q8" s="447" t="s">
        <v>5</v>
      </c>
      <c r="R8" s="41" t="s">
        <v>4</v>
      </c>
      <c r="S8" s="630" t="s">
        <v>5</v>
      </c>
      <c r="T8" s="41" t="s">
        <v>4</v>
      </c>
      <c r="U8" s="630" t="s">
        <v>5</v>
      </c>
      <c r="V8" s="41" t="s">
        <v>4</v>
      </c>
      <c r="W8" s="630" t="s">
        <v>5</v>
      </c>
      <c r="X8" s="41" t="s">
        <v>4</v>
      </c>
      <c r="Y8" s="630" t="s">
        <v>5</v>
      </c>
      <c r="Z8" s="41" t="s">
        <v>4</v>
      </c>
      <c r="AA8" s="630" t="s">
        <v>5</v>
      </c>
      <c r="AB8" s="41" t="s">
        <v>4</v>
      </c>
      <c r="AC8" s="631" t="s">
        <v>5</v>
      </c>
      <c r="AD8" s="553" t="s">
        <v>4</v>
      </c>
      <c r="AE8" s="554" t="s">
        <v>5</v>
      </c>
      <c r="AF8" s="553" t="s">
        <v>4</v>
      </c>
      <c r="AG8" s="554" t="s">
        <v>5</v>
      </c>
      <c r="AH8" s="553" t="s">
        <v>4</v>
      </c>
      <c r="AI8" s="554" t="s">
        <v>5</v>
      </c>
      <c r="AJ8" s="542" t="s">
        <v>4</v>
      </c>
      <c r="AK8" s="543" t="s">
        <v>5</v>
      </c>
      <c r="AL8" s="869"/>
      <c r="AM8" s="881"/>
      <c r="AN8" s="878"/>
      <c r="AO8" s="863"/>
      <c r="AP8" s="864"/>
      <c r="AQ8" s="863"/>
      <c r="AR8" s="863"/>
      <c r="AS8" s="876"/>
      <c r="AT8" s="874"/>
      <c r="AU8" s="876"/>
      <c r="AV8" s="863"/>
      <c r="AW8" s="878"/>
      <c r="AX8" s="878"/>
      <c r="AY8" s="889"/>
      <c r="AZ8" s="880"/>
      <c r="BA8" s="881"/>
      <c r="BB8" s="864"/>
      <c r="BC8" s="864"/>
      <c r="BD8" s="949"/>
      <c r="BE8" s="889"/>
      <c r="BF8" s="889"/>
      <c r="BG8" s="1001"/>
      <c r="BH8" s="928"/>
      <c r="BI8" s="928"/>
      <c r="BJ8" s="889"/>
      <c r="BK8" s="889"/>
      <c r="BL8" s="869"/>
      <c r="BM8" s="889"/>
      <c r="BN8" s="889"/>
      <c r="BO8" s="889"/>
      <c r="BP8" s="889"/>
      <c r="BQ8" s="986"/>
      <c r="BR8" s="965"/>
      <c r="BS8" s="965"/>
      <c r="BT8" s="965"/>
      <c r="BU8" s="973"/>
      <c r="BV8" s="973"/>
    </row>
    <row r="9" spans="1:74" x14ac:dyDescent="0.25">
      <c r="A9" s="13">
        <v>1</v>
      </c>
      <c r="B9" s="500">
        <v>42401</v>
      </c>
      <c r="C9" s="35" t="s">
        <v>149</v>
      </c>
      <c r="D9" s="273">
        <v>1967</v>
      </c>
      <c r="E9" s="273">
        <v>2</v>
      </c>
      <c r="F9" s="273">
        <v>12</v>
      </c>
      <c r="G9" s="273">
        <v>32</v>
      </c>
      <c r="H9" s="275">
        <v>506.67</v>
      </c>
      <c r="I9" s="275">
        <v>24.4</v>
      </c>
      <c r="J9" s="275"/>
      <c r="K9" s="275">
        <v>3.53</v>
      </c>
      <c r="L9" s="388"/>
      <c r="M9" s="388"/>
      <c r="N9" s="275">
        <v>576</v>
      </c>
      <c r="O9" s="275">
        <v>544.55999999999995</v>
      </c>
      <c r="P9" s="388">
        <v>441.9</v>
      </c>
      <c r="Q9" s="388">
        <v>274.07</v>
      </c>
      <c r="R9" s="388">
        <v>153</v>
      </c>
      <c r="S9" s="388">
        <v>94.88</v>
      </c>
      <c r="T9" s="388">
        <v>206.58</v>
      </c>
      <c r="U9" s="388">
        <v>193.05</v>
      </c>
      <c r="V9" s="388"/>
      <c r="W9" s="388">
        <v>2.88</v>
      </c>
      <c r="X9" s="388"/>
      <c r="Y9" s="388"/>
      <c r="Z9" s="388"/>
      <c r="AA9" s="388">
        <v>39.1</v>
      </c>
      <c r="AB9" s="388"/>
      <c r="AC9" s="388">
        <v>45.35</v>
      </c>
      <c r="AD9" s="388">
        <v>90345.2</v>
      </c>
      <c r="AE9" s="388">
        <v>77021.5</v>
      </c>
      <c r="AF9" s="388">
        <f>AF26-AD26</f>
        <v>7240.5</v>
      </c>
      <c r="AG9" s="388"/>
      <c r="AH9" s="388">
        <f>AD9-AF9</f>
        <v>83104.7</v>
      </c>
      <c r="AI9" s="388">
        <f>AE9/AD9*AH9</f>
        <v>70848.796073836798</v>
      </c>
      <c r="AJ9" s="388">
        <f>AH9+AF9+AB9+Z9+X9+V9+T9+R9+P9+N9+L9+J9</f>
        <v>91722.68</v>
      </c>
      <c r="AK9" s="388">
        <f>AI9+AG9+AC9+AA9+Y9+W9+U9+S9+Q9+O9+M9+K9</f>
        <v>72046.216073836826</v>
      </c>
      <c r="AL9" s="758">
        <f>AM9+AN9+AO9+AP9+AQ9+AR9+AS9+AT9+AU9+AV9+AW9+AX9+AY9+AZ9+BA9+BB9+BC9+BD9</f>
        <v>72082.400000000009</v>
      </c>
      <c r="AM9" s="236"/>
      <c r="AN9" s="238"/>
      <c r="AO9" s="238">
        <v>334.21</v>
      </c>
      <c r="AP9" s="238"/>
      <c r="AQ9" s="238">
        <v>23812.97</v>
      </c>
      <c r="AR9" s="238">
        <v>9601.36</v>
      </c>
      <c r="AS9" s="238">
        <v>33.94</v>
      </c>
      <c r="AT9" s="238"/>
      <c r="AU9" s="237"/>
      <c r="AV9" s="389">
        <v>343.8</v>
      </c>
      <c r="AW9" s="401">
        <v>120.61</v>
      </c>
      <c r="AX9" s="401">
        <v>76.44</v>
      </c>
      <c r="AY9" s="401">
        <v>222.48</v>
      </c>
      <c r="AZ9" s="401">
        <v>175.69</v>
      </c>
      <c r="BA9" s="401">
        <v>21401.29</v>
      </c>
      <c r="BB9" s="401">
        <v>2293.35</v>
      </c>
      <c r="BC9" s="390"/>
      <c r="BD9" s="178">
        <v>13666.26</v>
      </c>
      <c r="BE9" s="459">
        <f>AJ9-AL9</f>
        <v>19640.279999999984</v>
      </c>
      <c r="BF9" s="390"/>
      <c r="BG9" s="403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>
        <f>L9-M9</f>
        <v>0</v>
      </c>
      <c r="BU9" s="38">
        <v>13.63</v>
      </c>
      <c r="BV9" s="38">
        <v>2.85</v>
      </c>
    </row>
    <row r="10" spans="1:74" x14ac:dyDescent="0.25">
      <c r="A10" s="13">
        <v>2</v>
      </c>
      <c r="B10" s="500">
        <v>42767</v>
      </c>
      <c r="C10" s="35" t="s">
        <v>150</v>
      </c>
      <c r="D10" s="273">
        <v>1967</v>
      </c>
      <c r="E10" s="273">
        <v>2</v>
      </c>
      <c r="F10" s="273">
        <v>12</v>
      </c>
      <c r="G10" s="273">
        <v>38</v>
      </c>
      <c r="H10" s="275">
        <v>538.85</v>
      </c>
      <c r="I10" s="275">
        <v>24.4</v>
      </c>
      <c r="J10" s="275"/>
      <c r="K10" s="275">
        <v>46.86</v>
      </c>
      <c r="L10" s="388"/>
      <c r="M10" s="388"/>
      <c r="N10" s="275">
        <v>575.76</v>
      </c>
      <c r="O10" s="275">
        <v>710.24</v>
      </c>
      <c r="P10" s="388">
        <v>441.78</v>
      </c>
      <c r="Q10" s="388">
        <v>296.17</v>
      </c>
      <c r="R10" s="388">
        <v>153.06</v>
      </c>
      <c r="S10" s="388">
        <v>102.6</v>
      </c>
      <c r="T10" s="388">
        <v>206.82</v>
      </c>
      <c r="U10" s="388">
        <v>199.89</v>
      </c>
      <c r="V10" s="388"/>
      <c r="W10" s="388">
        <v>21.86</v>
      </c>
      <c r="X10" s="388"/>
      <c r="Y10" s="388"/>
      <c r="Z10" s="388"/>
      <c r="AA10" s="388">
        <v>487.75</v>
      </c>
      <c r="AB10" s="388"/>
      <c r="AC10" s="388">
        <v>597.05999999999995</v>
      </c>
      <c r="AD10" s="388">
        <v>90268.81</v>
      </c>
      <c r="AE10" s="388">
        <v>81635.42</v>
      </c>
      <c r="AF10" s="388">
        <f t="shared" ref="AF10:AF16" si="0">AF27-AD27</f>
        <v>7262.4500000000007</v>
      </c>
      <c r="AG10" s="388"/>
      <c r="AH10" s="388">
        <f t="shared" ref="AH10:AH16" si="1">AD10-AF10</f>
        <v>83006.36</v>
      </c>
      <c r="AI10" s="388">
        <f t="shared" ref="AI10:AI16" si="2">AE10/AD10*AH10</f>
        <v>75067.557235674205</v>
      </c>
      <c r="AJ10" s="388">
        <f t="shared" ref="AJ10:AJ16" si="3">AH10+AF10+AB10+Z10+X10+V10+T10+R10+P10+N10+L10+J10</f>
        <v>91646.23</v>
      </c>
      <c r="AK10" s="388">
        <f t="shared" ref="AK10:AK16" si="4">AI10+AC10+AA10+Y10+W10+U10+S10+Q10+O10+M10+K10</f>
        <v>77529.987235674213</v>
      </c>
      <c r="AL10" s="758">
        <f t="shared" ref="AL10:AL16" si="5">AM10+AN10+AO10+AP10+AQ10+AR10+AS10+AT10+AU10+AV10+AW10+AX10+AY10+AZ10+BA10+BB10+BC10+BD10</f>
        <v>75705.670000000013</v>
      </c>
      <c r="AM10" s="236"/>
      <c r="AN10" s="238"/>
      <c r="AO10" s="238">
        <v>354.14</v>
      </c>
      <c r="AP10" s="238"/>
      <c r="AQ10" s="238">
        <v>25233.99</v>
      </c>
      <c r="AR10" s="238">
        <v>9630.5</v>
      </c>
      <c r="AS10" s="238">
        <v>35.96</v>
      </c>
      <c r="AT10" s="238"/>
      <c r="AU10" s="237"/>
      <c r="AV10" s="389">
        <v>343.8</v>
      </c>
      <c r="AW10" s="401">
        <v>120.61</v>
      </c>
      <c r="AX10" s="401">
        <v>76.44</v>
      </c>
      <c r="AY10" s="401">
        <v>222.48</v>
      </c>
      <c r="AZ10" s="401">
        <v>166.16</v>
      </c>
      <c r="BA10" s="401">
        <v>22678.400000000001</v>
      </c>
      <c r="BB10" s="401">
        <v>2430.1999999999998</v>
      </c>
      <c r="BC10" s="390"/>
      <c r="BD10" s="178">
        <v>14412.99</v>
      </c>
      <c r="BE10" s="459">
        <f t="shared" ref="BE10:BE16" si="6">AJ10-AL10</f>
        <v>15940.559999999983</v>
      </c>
      <c r="BF10" s="390"/>
      <c r="BG10" s="403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>
        <f t="shared" ref="BT10:BT16" si="7">L10-M10</f>
        <v>0</v>
      </c>
      <c r="BU10" s="38">
        <v>13.62</v>
      </c>
      <c r="BV10" s="38">
        <v>2.86</v>
      </c>
    </row>
    <row r="11" spans="1:74" x14ac:dyDescent="0.25">
      <c r="A11" s="13">
        <v>3</v>
      </c>
      <c r="B11" s="501" t="s">
        <v>222</v>
      </c>
      <c r="C11" s="37" t="s">
        <v>152</v>
      </c>
      <c r="D11" s="258">
        <v>1990</v>
      </c>
      <c r="E11" s="258">
        <v>1</v>
      </c>
      <c r="F11" s="258">
        <v>1</v>
      </c>
      <c r="G11" s="258">
        <v>6</v>
      </c>
      <c r="H11" s="275">
        <v>63.7</v>
      </c>
      <c r="I11" s="275"/>
      <c r="J11" s="275"/>
      <c r="K11" s="275"/>
      <c r="L11" s="388"/>
      <c r="M11" s="388"/>
      <c r="N11" s="275"/>
      <c r="O11" s="275"/>
      <c r="P11" s="388"/>
      <c r="Q11" s="388"/>
      <c r="R11" s="388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88"/>
      <c r="AD11" s="388">
        <v>5572.44</v>
      </c>
      <c r="AE11" s="388">
        <v>5572.79</v>
      </c>
      <c r="AF11" s="388">
        <f t="shared" si="0"/>
        <v>0</v>
      </c>
      <c r="AG11" s="388"/>
      <c r="AH11" s="388">
        <f t="shared" si="1"/>
        <v>5572.44</v>
      </c>
      <c r="AI11" s="388">
        <f t="shared" si="2"/>
        <v>5572.79</v>
      </c>
      <c r="AJ11" s="388">
        <f t="shared" si="3"/>
        <v>5572.44</v>
      </c>
      <c r="AK11" s="388">
        <f t="shared" si="4"/>
        <v>5572.79</v>
      </c>
      <c r="AL11" s="758">
        <f t="shared" si="5"/>
        <v>7336.9099999999989</v>
      </c>
      <c r="AM11" s="240"/>
      <c r="AN11" s="238"/>
      <c r="AO11" s="391">
        <v>41.9</v>
      </c>
      <c r="AP11" s="238"/>
      <c r="AQ11" s="238">
        <v>2985.41</v>
      </c>
      <c r="AR11" s="238">
        <v>1203.75</v>
      </c>
      <c r="AS11" s="238">
        <v>4.25</v>
      </c>
      <c r="AT11" s="238"/>
      <c r="AU11" s="237"/>
      <c r="AV11" s="389"/>
      <c r="AW11" s="401"/>
      <c r="AX11" s="401"/>
      <c r="AY11" s="401"/>
      <c r="AZ11" s="401"/>
      <c r="BA11" s="401">
        <v>2683.06</v>
      </c>
      <c r="BB11" s="401">
        <v>287.54000000000002</v>
      </c>
      <c r="BC11" s="390"/>
      <c r="BD11" s="178">
        <v>131</v>
      </c>
      <c r="BE11" s="459">
        <f t="shared" si="6"/>
        <v>-1764.4699999999993</v>
      </c>
      <c r="BF11" s="390"/>
      <c r="BG11" s="403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>
        <f t="shared" si="7"/>
        <v>0</v>
      </c>
      <c r="BU11" s="38">
        <v>7.29</v>
      </c>
      <c r="BV11" s="38"/>
    </row>
    <row r="12" spans="1:74" x14ac:dyDescent="0.25">
      <c r="A12" s="13">
        <v>4</v>
      </c>
      <c r="B12" s="501" t="s">
        <v>223</v>
      </c>
      <c r="C12" s="37" t="s">
        <v>151</v>
      </c>
      <c r="D12" s="258">
        <v>1967</v>
      </c>
      <c r="E12" s="258">
        <v>2</v>
      </c>
      <c r="F12" s="258">
        <v>2</v>
      </c>
      <c r="G12" s="258">
        <v>12</v>
      </c>
      <c r="H12" s="275">
        <v>530.91999999999996</v>
      </c>
      <c r="I12" s="275"/>
      <c r="J12" s="275"/>
      <c r="K12" s="275">
        <v>50.59</v>
      </c>
      <c r="L12" s="388"/>
      <c r="M12" s="388"/>
      <c r="N12" s="275">
        <v>568.38</v>
      </c>
      <c r="O12" s="275">
        <v>829.01</v>
      </c>
      <c r="P12" s="388">
        <v>436.02</v>
      </c>
      <c r="Q12" s="388">
        <v>340.02</v>
      </c>
      <c r="R12" s="388">
        <v>151.13999999999999</v>
      </c>
      <c r="S12" s="388">
        <v>117.89</v>
      </c>
      <c r="T12" s="388">
        <v>204</v>
      </c>
      <c r="U12" s="388">
        <v>212.54</v>
      </c>
      <c r="V12" s="388"/>
      <c r="W12" s="388">
        <v>42.88</v>
      </c>
      <c r="X12" s="388"/>
      <c r="Y12" s="388"/>
      <c r="Z12" s="388"/>
      <c r="AA12" s="388">
        <v>562.57000000000005</v>
      </c>
      <c r="AB12" s="388"/>
      <c r="AC12" s="388">
        <v>658.53</v>
      </c>
      <c r="AD12" s="388">
        <v>90770.85</v>
      </c>
      <c r="AE12" s="388">
        <v>86018.08</v>
      </c>
      <c r="AF12" s="388">
        <f t="shared" si="0"/>
        <v>7625.2499999999982</v>
      </c>
      <c r="AG12" s="388"/>
      <c r="AH12" s="388">
        <f t="shared" si="1"/>
        <v>83145.600000000006</v>
      </c>
      <c r="AI12" s="388">
        <f t="shared" si="2"/>
        <v>78792.088786741559</v>
      </c>
      <c r="AJ12" s="388">
        <f t="shared" si="3"/>
        <v>92130.390000000014</v>
      </c>
      <c r="AK12" s="388">
        <f t="shared" si="4"/>
        <v>81606.118786741557</v>
      </c>
      <c r="AL12" s="758">
        <f t="shared" si="5"/>
        <v>73597.14</v>
      </c>
      <c r="AM12" s="240"/>
      <c r="AN12" s="238"/>
      <c r="AO12" s="391">
        <v>334.37</v>
      </c>
      <c r="AP12" s="238"/>
      <c r="AQ12" s="238">
        <v>23824.71</v>
      </c>
      <c r="AR12" s="238">
        <v>9606.0300000000007</v>
      </c>
      <c r="AS12" s="238">
        <v>33.950000000000003</v>
      </c>
      <c r="AT12" s="238"/>
      <c r="AU12" s="237"/>
      <c r="AV12" s="389">
        <v>343.8</v>
      </c>
      <c r="AW12" s="401">
        <v>170.37</v>
      </c>
      <c r="AX12" s="401">
        <v>107.82</v>
      </c>
      <c r="AY12" s="401">
        <v>309.57</v>
      </c>
      <c r="AZ12" s="401">
        <v>1429.46</v>
      </c>
      <c r="BA12" s="401">
        <v>21411.83</v>
      </c>
      <c r="BB12" s="401">
        <v>2294.5100000000002</v>
      </c>
      <c r="BC12" s="390"/>
      <c r="BD12" s="178">
        <v>13730.72</v>
      </c>
      <c r="BE12" s="459">
        <f t="shared" si="6"/>
        <v>18533.250000000015</v>
      </c>
      <c r="BF12" s="390"/>
      <c r="BG12" s="403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>
        <f t="shared" si="7"/>
        <v>0</v>
      </c>
      <c r="BU12" s="38">
        <v>13.63</v>
      </c>
      <c r="BV12" s="38">
        <v>3</v>
      </c>
    </row>
    <row r="13" spans="1:74" x14ac:dyDescent="0.25">
      <c r="A13" s="197">
        <v>5</v>
      </c>
      <c r="B13" s="501" t="s">
        <v>222</v>
      </c>
      <c r="C13" s="37" t="s">
        <v>153</v>
      </c>
      <c r="D13" s="258">
        <v>1990</v>
      </c>
      <c r="E13" s="258">
        <v>1</v>
      </c>
      <c r="F13" s="258">
        <v>1</v>
      </c>
      <c r="G13" s="258">
        <v>9</v>
      </c>
      <c r="H13" s="275">
        <v>72.5</v>
      </c>
      <c r="I13" s="275">
        <v>24.08</v>
      </c>
      <c r="J13" s="275"/>
      <c r="K13" s="275">
        <v>23.35</v>
      </c>
      <c r="L13" s="275"/>
      <c r="M13" s="275"/>
      <c r="N13" s="275"/>
      <c r="O13" s="275"/>
      <c r="P13" s="388"/>
      <c r="Q13" s="388"/>
      <c r="R13" s="388"/>
      <c r="S13" s="388"/>
      <c r="T13" s="388"/>
      <c r="U13" s="388"/>
      <c r="V13" s="388"/>
      <c r="W13" s="388"/>
      <c r="X13" s="388"/>
      <c r="Y13" s="388"/>
      <c r="Z13" s="388"/>
      <c r="AA13" s="388">
        <v>347.58</v>
      </c>
      <c r="AB13" s="388"/>
      <c r="AC13" s="388"/>
      <c r="AD13" s="388">
        <v>6020.4</v>
      </c>
      <c r="AE13" s="388">
        <v>7911.47</v>
      </c>
      <c r="AF13" s="388">
        <f t="shared" si="0"/>
        <v>0</v>
      </c>
      <c r="AG13" s="388"/>
      <c r="AH13" s="388">
        <f t="shared" si="1"/>
        <v>6020.4</v>
      </c>
      <c r="AI13" s="388">
        <f t="shared" si="2"/>
        <v>7911.4699999999993</v>
      </c>
      <c r="AJ13" s="388">
        <f t="shared" si="3"/>
        <v>6020.4</v>
      </c>
      <c r="AK13" s="388">
        <f t="shared" si="4"/>
        <v>8282.4</v>
      </c>
      <c r="AL13" s="758">
        <f t="shared" si="5"/>
        <v>8350.42</v>
      </c>
      <c r="AM13" s="240"/>
      <c r="AN13" s="238"/>
      <c r="AO13" s="391">
        <v>47.68</v>
      </c>
      <c r="AP13" s="238"/>
      <c r="AQ13" s="238">
        <v>3397.83</v>
      </c>
      <c r="AR13" s="238">
        <v>1370</v>
      </c>
      <c r="AS13" s="238">
        <v>4.84</v>
      </c>
      <c r="AT13" s="238"/>
      <c r="AU13" s="237"/>
      <c r="AV13" s="389"/>
      <c r="AW13" s="401"/>
      <c r="AX13" s="401"/>
      <c r="AY13" s="401"/>
      <c r="AZ13" s="401"/>
      <c r="BA13" s="401">
        <v>3053.73</v>
      </c>
      <c r="BB13" s="401">
        <v>327.25</v>
      </c>
      <c r="BC13" s="390"/>
      <c r="BD13" s="178">
        <v>149.09</v>
      </c>
      <c r="BE13" s="459">
        <f t="shared" si="6"/>
        <v>-2330.0200000000004</v>
      </c>
      <c r="BF13" s="390"/>
      <c r="BG13" s="403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>
        <f t="shared" si="7"/>
        <v>0</v>
      </c>
      <c r="BU13" s="38">
        <v>6.92</v>
      </c>
      <c r="BV13" s="38"/>
    </row>
    <row r="14" spans="1:74" x14ac:dyDescent="0.25">
      <c r="A14" s="13">
        <v>6</v>
      </c>
      <c r="B14" s="500">
        <v>42401</v>
      </c>
      <c r="C14" s="35" t="s">
        <v>154</v>
      </c>
      <c r="D14" s="273">
        <v>1994</v>
      </c>
      <c r="E14" s="273">
        <v>3</v>
      </c>
      <c r="F14" s="273">
        <v>24</v>
      </c>
      <c r="G14" s="273">
        <v>65</v>
      </c>
      <c r="H14" s="275">
        <v>1442.3</v>
      </c>
      <c r="I14" s="275">
        <v>129.6</v>
      </c>
      <c r="J14" s="275"/>
      <c r="K14" s="275">
        <v>46.82</v>
      </c>
      <c r="L14" s="388">
        <v>6457.6</v>
      </c>
      <c r="M14" s="388">
        <v>7304.01</v>
      </c>
      <c r="N14" s="275">
        <v>4446.3</v>
      </c>
      <c r="O14" s="275">
        <v>5164.46</v>
      </c>
      <c r="P14" s="388">
        <v>3411.78</v>
      </c>
      <c r="Q14" s="388">
        <v>2774.55</v>
      </c>
      <c r="R14" s="388">
        <v>1181.58</v>
      </c>
      <c r="S14" s="388">
        <v>960.9</v>
      </c>
      <c r="T14" s="388">
        <v>1596.42</v>
      </c>
      <c r="U14" s="388">
        <v>1579.09</v>
      </c>
      <c r="V14" s="388"/>
      <c r="W14" s="388">
        <v>36.9</v>
      </c>
      <c r="X14" s="388">
        <v>2683.08</v>
      </c>
      <c r="Y14" s="388">
        <v>2613.33</v>
      </c>
      <c r="Z14" s="388"/>
      <c r="AA14" s="388">
        <v>433.05</v>
      </c>
      <c r="AB14" s="388"/>
      <c r="AC14" s="388">
        <v>591.19000000000005</v>
      </c>
      <c r="AD14" s="388">
        <v>261734.18</v>
      </c>
      <c r="AE14" s="388">
        <v>253396.65</v>
      </c>
      <c r="AF14" s="388">
        <f t="shared" si="0"/>
        <v>20913.350000000002</v>
      </c>
      <c r="AG14" s="388"/>
      <c r="AH14" s="388">
        <f t="shared" si="1"/>
        <v>240820.83</v>
      </c>
      <c r="AI14" s="388">
        <f t="shared" si="2"/>
        <v>233149.49378113128</v>
      </c>
      <c r="AJ14" s="388">
        <f t="shared" si="3"/>
        <v>281510.94</v>
      </c>
      <c r="AK14" s="388">
        <f t="shared" si="4"/>
        <v>254653.79378113124</v>
      </c>
      <c r="AL14" s="758">
        <f t="shared" si="5"/>
        <v>217392.52</v>
      </c>
      <c r="AM14" s="236">
        <v>5472</v>
      </c>
      <c r="AN14" s="238"/>
      <c r="AO14" s="238">
        <v>948.67</v>
      </c>
      <c r="AP14" s="238">
        <v>1702.8</v>
      </c>
      <c r="AQ14" s="238">
        <v>67595.850000000006</v>
      </c>
      <c r="AR14" s="238">
        <v>27254.45</v>
      </c>
      <c r="AS14" s="238">
        <v>96.33</v>
      </c>
      <c r="AT14" s="238"/>
      <c r="AU14" s="237"/>
      <c r="AV14" s="389">
        <v>4629.53</v>
      </c>
      <c r="AW14" s="401">
        <v>645.03</v>
      </c>
      <c r="AX14" s="401">
        <v>404.4</v>
      </c>
      <c r="AY14" s="401">
        <v>1175.31</v>
      </c>
      <c r="AZ14" s="401">
        <v>1104.1199999999999</v>
      </c>
      <c r="BA14" s="401">
        <v>60750.06</v>
      </c>
      <c r="BB14" s="401">
        <v>6509.96</v>
      </c>
      <c r="BC14" s="390"/>
      <c r="BD14" s="178">
        <v>39104.01</v>
      </c>
      <c r="BE14" s="459">
        <f t="shared" si="6"/>
        <v>64118.420000000013</v>
      </c>
      <c r="BF14" s="390"/>
      <c r="BG14" s="403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>
        <f t="shared" si="7"/>
        <v>-846.40999999999985</v>
      </c>
      <c r="BU14" s="38">
        <v>13.56</v>
      </c>
      <c r="BV14" s="38">
        <v>2.9</v>
      </c>
    </row>
    <row r="15" spans="1:74" x14ac:dyDescent="0.25">
      <c r="A15" s="13">
        <v>7</v>
      </c>
      <c r="B15" s="500">
        <v>42401</v>
      </c>
      <c r="C15" s="35" t="s">
        <v>155</v>
      </c>
      <c r="D15" s="273">
        <v>1989</v>
      </c>
      <c r="E15" s="273">
        <v>3</v>
      </c>
      <c r="F15" s="273">
        <v>24</v>
      </c>
      <c r="G15" s="273">
        <v>61</v>
      </c>
      <c r="H15" s="275">
        <v>1454.5</v>
      </c>
      <c r="I15" s="275">
        <v>129.6</v>
      </c>
      <c r="J15" s="275"/>
      <c r="K15" s="275">
        <v>147.44999999999999</v>
      </c>
      <c r="L15" s="388">
        <v>7175</v>
      </c>
      <c r="M15" s="388">
        <v>8608.89</v>
      </c>
      <c r="N15" s="275">
        <v>4446.66</v>
      </c>
      <c r="O15" s="275">
        <v>5321.9</v>
      </c>
      <c r="P15" s="388">
        <v>3411.6</v>
      </c>
      <c r="Q15" s="388">
        <v>2412.8000000000002</v>
      </c>
      <c r="R15" s="388">
        <v>1181.52</v>
      </c>
      <c r="S15" s="388">
        <v>835.64</v>
      </c>
      <c r="T15" s="388">
        <v>1596.72</v>
      </c>
      <c r="U15" s="388">
        <v>1513.54</v>
      </c>
      <c r="V15" s="388"/>
      <c r="W15" s="388">
        <v>173.05</v>
      </c>
      <c r="X15" s="388">
        <v>2683.26</v>
      </c>
      <c r="Y15" s="388">
        <v>2456.7199999999998</v>
      </c>
      <c r="Z15" s="388"/>
      <c r="AA15" s="388">
        <v>1552.92</v>
      </c>
      <c r="AB15" s="388"/>
      <c r="AC15" s="388">
        <v>1861.7</v>
      </c>
      <c r="AD15" s="388">
        <v>263947.96999999997</v>
      </c>
      <c r="AE15" s="388">
        <v>246453.4</v>
      </c>
      <c r="AF15" s="388">
        <f t="shared" si="0"/>
        <v>21090.250000000007</v>
      </c>
      <c r="AG15" s="388"/>
      <c r="AH15" s="388">
        <f t="shared" si="1"/>
        <v>242857.71999999997</v>
      </c>
      <c r="AI15" s="388">
        <f t="shared" si="2"/>
        <v>226761.01964431856</v>
      </c>
      <c r="AJ15" s="388">
        <f t="shared" si="3"/>
        <v>284442.72999999992</v>
      </c>
      <c r="AK15" s="388">
        <f t="shared" si="4"/>
        <v>251645.6296443186</v>
      </c>
      <c r="AL15" s="758">
        <f t="shared" si="5"/>
        <v>229383.55</v>
      </c>
      <c r="AM15" s="236">
        <v>5472</v>
      </c>
      <c r="AN15" s="238"/>
      <c r="AO15" s="238">
        <v>956.7</v>
      </c>
      <c r="AP15" s="238">
        <v>1702.8</v>
      </c>
      <c r="AQ15" s="238">
        <v>68167.63</v>
      </c>
      <c r="AR15" s="238">
        <v>27485.02</v>
      </c>
      <c r="AS15" s="238">
        <v>97.15</v>
      </c>
      <c r="AT15" s="238"/>
      <c r="AU15" s="237"/>
      <c r="AV15" s="389">
        <v>13990.65</v>
      </c>
      <c r="AW15" s="401">
        <v>645.03</v>
      </c>
      <c r="AX15" s="401">
        <v>404.4</v>
      </c>
      <c r="AY15" s="401">
        <v>1175.31</v>
      </c>
      <c r="AZ15" s="401">
        <v>1891.5</v>
      </c>
      <c r="BA15" s="401">
        <v>61263.94</v>
      </c>
      <c r="BB15" s="401">
        <v>6565</v>
      </c>
      <c r="BC15" s="390"/>
      <c r="BD15" s="178">
        <v>39566.42</v>
      </c>
      <c r="BE15" s="459">
        <f t="shared" si="6"/>
        <v>55059.179999999935</v>
      </c>
      <c r="BF15" s="390"/>
      <c r="BG15" s="403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>
        <f t="shared" si="7"/>
        <v>-1433.8899999999994</v>
      </c>
      <c r="BU15" s="38">
        <v>13.56</v>
      </c>
      <c r="BV15" s="38">
        <v>2.9</v>
      </c>
    </row>
    <row r="16" spans="1:74" x14ac:dyDescent="0.25">
      <c r="A16" s="98">
        <v>8</v>
      </c>
      <c r="B16" s="502">
        <v>42401</v>
      </c>
      <c r="C16" s="99" t="s">
        <v>156</v>
      </c>
      <c r="D16" s="277">
        <v>1961</v>
      </c>
      <c r="E16" s="277">
        <v>1</v>
      </c>
      <c r="F16" s="277">
        <v>2</v>
      </c>
      <c r="G16" s="277">
        <v>0</v>
      </c>
      <c r="H16" s="393">
        <v>76.400000000000006</v>
      </c>
      <c r="I16" s="392"/>
      <c r="J16" s="393"/>
      <c r="K16" s="393"/>
      <c r="L16" s="393"/>
      <c r="M16" s="393"/>
      <c r="N16" s="393"/>
      <c r="O16" s="393"/>
      <c r="P16" s="495"/>
      <c r="Q16" s="495"/>
      <c r="R16" s="495"/>
      <c r="S16" s="495"/>
      <c r="T16" s="495"/>
      <c r="U16" s="495"/>
      <c r="V16" s="495"/>
      <c r="W16" s="495"/>
      <c r="X16" s="495"/>
      <c r="Y16" s="495"/>
      <c r="Z16" s="495"/>
      <c r="AA16" s="495"/>
      <c r="AB16" s="495"/>
      <c r="AC16" s="495"/>
      <c r="AD16" s="495">
        <v>6124.2</v>
      </c>
      <c r="AE16" s="495">
        <v>5870.36</v>
      </c>
      <c r="AF16" s="388">
        <f t="shared" si="0"/>
        <v>0</v>
      </c>
      <c r="AG16" s="495"/>
      <c r="AH16" s="388">
        <f t="shared" si="1"/>
        <v>6124.2</v>
      </c>
      <c r="AI16" s="388">
        <f t="shared" si="2"/>
        <v>5870.36</v>
      </c>
      <c r="AJ16" s="388">
        <f t="shared" si="3"/>
        <v>6124.2</v>
      </c>
      <c r="AK16" s="388">
        <f t="shared" si="4"/>
        <v>5870.36</v>
      </c>
      <c r="AL16" s="758">
        <f t="shared" si="5"/>
        <v>8310.66</v>
      </c>
      <c r="AM16" s="394"/>
      <c r="AN16" s="496"/>
      <c r="AO16" s="641">
        <v>50.25</v>
      </c>
      <c r="AP16" s="497"/>
      <c r="AQ16" s="238">
        <v>3580.62</v>
      </c>
      <c r="AR16" s="238">
        <v>954.78</v>
      </c>
      <c r="AS16" s="238">
        <v>5.0999999999999996</v>
      </c>
      <c r="AT16" s="238"/>
      <c r="AU16" s="237"/>
      <c r="AV16" s="389"/>
      <c r="AW16" s="401"/>
      <c r="AX16" s="401"/>
      <c r="AY16" s="401"/>
      <c r="AZ16" s="401"/>
      <c r="BA16" s="498">
        <v>3217.97</v>
      </c>
      <c r="BB16" s="498">
        <v>344.83</v>
      </c>
      <c r="BC16" s="402"/>
      <c r="BD16" s="182">
        <v>157.11000000000001</v>
      </c>
      <c r="BE16" s="459">
        <f t="shared" si="6"/>
        <v>-2186.46</v>
      </c>
      <c r="BF16" s="402"/>
      <c r="BG16" s="403"/>
      <c r="BH16" s="404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>
        <f t="shared" si="7"/>
        <v>0</v>
      </c>
      <c r="BU16" s="38">
        <v>6.68</v>
      </c>
      <c r="BV16" s="38"/>
    </row>
    <row r="17" spans="1:74" x14ac:dyDescent="0.25">
      <c r="A17" s="13"/>
      <c r="B17" s="13"/>
      <c r="C17" s="156" t="s">
        <v>184</v>
      </c>
      <c r="D17" s="258"/>
      <c r="E17" s="258"/>
      <c r="F17" s="259">
        <f t="shared" ref="F17:BV17" si="8">SUM(F9:F16)</f>
        <v>78</v>
      </c>
      <c r="G17" s="259">
        <f t="shared" si="8"/>
        <v>223</v>
      </c>
      <c r="H17" s="234">
        <f t="shared" si="8"/>
        <v>4685.8399999999992</v>
      </c>
      <c r="I17" s="234">
        <f t="shared" si="8"/>
        <v>332.08</v>
      </c>
      <c r="J17" s="600">
        <f>SUM(J9:J16)</f>
        <v>0</v>
      </c>
      <c r="K17" s="600">
        <f t="shared" ref="K17:AK17" si="9">SUM(K9:K16)</f>
        <v>318.60000000000002</v>
      </c>
      <c r="L17" s="600">
        <f t="shared" si="9"/>
        <v>13632.6</v>
      </c>
      <c r="M17" s="600">
        <f t="shared" si="9"/>
        <v>15912.9</v>
      </c>
      <c r="N17" s="600">
        <f t="shared" si="9"/>
        <v>10613.1</v>
      </c>
      <c r="O17" s="600">
        <f t="shared" si="9"/>
        <v>12570.17</v>
      </c>
      <c r="P17" s="600">
        <f t="shared" si="9"/>
        <v>8143.08</v>
      </c>
      <c r="Q17" s="600">
        <f t="shared" si="9"/>
        <v>6097.6100000000006</v>
      </c>
      <c r="R17" s="600">
        <f t="shared" si="9"/>
        <v>2820.3</v>
      </c>
      <c r="S17" s="600">
        <f t="shared" si="9"/>
        <v>2111.91</v>
      </c>
      <c r="T17" s="600">
        <f t="shared" si="9"/>
        <v>3810.54</v>
      </c>
      <c r="U17" s="600">
        <f t="shared" si="9"/>
        <v>3698.1099999999997</v>
      </c>
      <c r="V17" s="600">
        <f t="shared" si="9"/>
        <v>0</v>
      </c>
      <c r="W17" s="600">
        <f t="shared" si="9"/>
        <v>277.57000000000005</v>
      </c>
      <c r="X17" s="600">
        <f t="shared" si="9"/>
        <v>5366.34</v>
      </c>
      <c r="Y17" s="600">
        <f t="shared" si="9"/>
        <v>5070.0499999999993</v>
      </c>
      <c r="Z17" s="600">
        <f t="shared" si="9"/>
        <v>0</v>
      </c>
      <c r="AA17" s="600">
        <f t="shared" si="9"/>
        <v>3422.9700000000003</v>
      </c>
      <c r="AB17" s="600">
        <f t="shared" si="9"/>
        <v>0</v>
      </c>
      <c r="AC17" s="600">
        <f t="shared" si="9"/>
        <v>3753.83</v>
      </c>
      <c r="AD17" s="600">
        <f t="shared" si="9"/>
        <v>814784.05</v>
      </c>
      <c r="AE17" s="600">
        <f t="shared" si="9"/>
        <v>763879.66999999993</v>
      </c>
      <c r="AF17" s="600">
        <f t="shared" si="9"/>
        <v>64131.80000000001</v>
      </c>
      <c r="AG17" s="600">
        <f t="shared" si="9"/>
        <v>0</v>
      </c>
      <c r="AH17" s="600">
        <f t="shared" si="9"/>
        <v>750652.24999999988</v>
      </c>
      <c r="AI17" s="600">
        <f t="shared" si="9"/>
        <v>703973.5755217023</v>
      </c>
      <c r="AJ17" s="600">
        <f t="shared" si="9"/>
        <v>859170.01</v>
      </c>
      <c r="AK17" s="600">
        <f t="shared" si="9"/>
        <v>757207.2955217025</v>
      </c>
      <c r="AL17" s="640">
        <f t="shared" si="8"/>
        <v>692159.27</v>
      </c>
      <c r="AM17" s="640">
        <f t="shared" si="8"/>
        <v>10944</v>
      </c>
      <c r="AN17" s="640">
        <f t="shared" si="8"/>
        <v>0</v>
      </c>
      <c r="AO17" s="640">
        <f t="shared" si="8"/>
        <v>3067.92</v>
      </c>
      <c r="AP17" s="640">
        <f t="shared" si="8"/>
        <v>3405.6</v>
      </c>
      <c r="AQ17" s="640">
        <f t="shared" si="8"/>
        <v>218599.01</v>
      </c>
      <c r="AR17" s="640">
        <f t="shared" si="8"/>
        <v>87105.89</v>
      </c>
      <c r="AS17" s="640">
        <f t="shared" si="8"/>
        <v>311.52000000000004</v>
      </c>
      <c r="AT17" s="640">
        <f t="shared" si="8"/>
        <v>0</v>
      </c>
      <c r="AU17" s="640">
        <f t="shared" si="8"/>
        <v>0</v>
      </c>
      <c r="AV17" s="640">
        <f t="shared" si="8"/>
        <v>19651.580000000002</v>
      </c>
      <c r="AW17" s="640">
        <f t="shared" si="8"/>
        <v>1701.6499999999999</v>
      </c>
      <c r="AX17" s="640">
        <f t="shared" si="8"/>
        <v>1069.5</v>
      </c>
      <c r="AY17" s="640">
        <f t="shared" si="8"/>
        <v>3105.1499999999996</v>
      </c>
      <c r="AZ17" s="640">
        <f t="shared" si="8"/>
        <v>4766.93</v>
      </c>
      <c r="BA17" s="640">
        <f t="shared" si="8"/>
        <v>196460.28</v>
      </c>
      <c r="BB17" s="640">
        <f t="shared" si="8"/>
        <v>21052.639999999999</v>
      </c>
      <c r="BC17" s="640">
        <f t="shared" si="8"/>
        <v>0</v>
      </c>
      <c r="BD17" s="640">
        <f t="shared" si="8"/>
        <v>120917.6</v>
      </c>
      <c r="BE17" s="640">
        <f t="shared" si="8"/>
        <v>167010.73999999993</v>
      </c>
      <c r="BF17" s="640">
        <f t="shared" si="8"/>
        <v>0</v>
      </c>
      <c r="BG17" s="640">
        <f t="shared" si="8"/>
        <v>0</v>
      </c>
      <c r="BH17" s="640">
        <f t="shared" si="8"/>
        <v>0</v>
      </c>
      <c r="BI17" s="640">
        <f t="shared" si="8"/>
        <v>0</v>
      </c>
      <c r="BJ17" s="640">
        <f t="shared" si="8"/>
        <v>0</v>
      </c>
      <c r="BK17" s="640">
        <f t="shared" si="8"/>
        <v>0</v>
      </c>
      <c r="BL17" s="640">
        <f t="shared" si="8"/>
        <v>0</v>
      </c>
      <c r="BM17" s="640">
        <f t="shared" si="8"/>
        <v>0</v>
      </c>
      <c r="BN17" s="640">
        <f t="shared" si="8"/>
        <v>0</v>
      </c>
      <c r="BO17" s="640">
        <f t="shared" si="8"/>
        <v>0</v>
      </c>
      <c r="BP17" s="640">
        <f t="shared" si="8"/>
        <v>0</v>
      </c>
      <c r="BQ17" s="640">
        <f t="shared" si="8"/>
        <v>0</v>
      </c>
      <c r="BR17" s="640">
        <f t="shared" si="8"/>
        <v>0</v>
      </c>
      <c r="BS17" s="640">
        <f t="shared" si="8"/>
        <v>0</v>
      </c>
      <c r="BT17" s="640">
        <f t="shared" si="8"/>
        <v>-2280.2999999999993</v>
      </c>
      <c r="BU17" s="640">
        <f t="shared" si="8"/>
        <v>88.890000000000015</v>
      </c>
      <c r="BV17" s="640">
        <f t="shared" si="8"/>
        <v>14.510000000000002</v>
      </c>
    </row>
    <row r="18" spans="1:74" x14ac:dyDescent="0.25">
      <c r="A18" s="110"/>
      <c r="B18" s="110"/>
      <c r="C18" s="212" t="s">
        <v>236</v>
      </c>
      <c r="D18" s="212"/>
      <c r="E18" s="212"/>
      <c r="F18" s="212"/>
      <c r="G18" s="212"/>
      <c r="H18" s="503">
        <f>H9+H10+H12+H14+H15</f>
        <v>4473.24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499"/>
      <c r="AW18" s="110"/>
      <c r="AX18" s="110"/>
      <c r="AY18" s="110"/>
      <c r="AZ18" s="499"/>
      <c r="BA18" s="110"/>
      <c r="BB18" s="110"/>
      <c r="BC18" s="110"/>
      <c r="BD18" s="110"/>
      <c r="BE18" s="110"/>
      <c r="BF18" s="110"/>
      <c r="BG18" s="110"/>
      <c r="BI18" s="59"/>
      <c r="BJ18" s="487"/>
    </row>
    <row r="19" spans="1:74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</row>
    <row r="20" spans="1:74" x14ac:dyDescent="0.25">
      <c r="A20" s="110"/>
      <c r="B20" s="110"/>
      <c r="C20" s="188" t="s">
        <v>338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</row>
    <row r="21" spans="1:74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</row>
    <row r="22" spans="1:74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P22" s="40"/>
    </row>
    <row r="23" spans="1:74" ht="15" customHeight="1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74" ht="30.75" customHeight="1" x14ac:dyDescent="0.25">
      <c r="A24" s="915" t="s">
        <v>0</v>
      </c>
      <c r="B24" s="860"/>
      <c r="C24" s="915" t="s">
        <v>130</v>
      </c>
      <c r="D24" s="915" t="s">
        <v>43</v>
      </c>
      <c r="E24" s="915" t="s">
        <v>44</v>
      </c>
      <c r="F24" s="915" t="s">
        <v>45</v>
      </c>
      <c r="G24" s="915" t="s">
        <v>46</v>
      </c>
      <c r="H24" s="915" t="s">
        <v>1</v>
      </c>
      <c r="I24" s="890" t="s">
        <v>178</v>
      </c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  <c r="U24" s="633"/>
      <c r="V24" s="633"/>
      <c r="W24" s="633"/>
      <c r="X24" s="633"/>
      <c r="Y24" s="633"/>
      <c r="Z24" s="633"/>
      <c r="AA24" s="633"/>
      <c r="AB24" s="633"/>
      <c r="AC24" s="633"/>
      <c r="AD24" s="883" t="s">
        <v>269</v>
      </c>
      <c r="AE24" s="884"/>
      <c r="AF24" s="885" t="s">
        <v>335</v>
      </c>
      <c r="AG24" s="885"/>
      <c r="AH24" s="883" t="s">
        <v>246</v>
      </c>
      <c r="AI24" s="884"/>
      <c r="AJ24" s="886" t="s">
        <v>263</v>
      </c>
      <c r="AK24" s="887"/>
      <c r="AL24" s="868" t="s">
        <v>233</v>
      </c>
      <c r="AM24" s="1002" t="s">
        <v>188</v>
      </c>
      <c r="AN24" s="860" t="s">
        <v>200</v>
      </c>
      <c r="AO24" s="882" t="s">
        <v>342</v>
      </c>
      <c r="AP24" s="1004" t="s">
        <v>343</v>
      </c>
      <c r="AQ24" s="882" t="s">
        <v>344</v>
      </c>
      <c r="AR24" s="882" t="s">
        <v>345</v>
      </c>
      <c r="AS24" s="860" t="s">
        <v>367</v>
      </c>
      <c r="AT24" s="633"/>
      <c r="AU24" s="633"/>
      <c r="AV24" s="633"/>
      <c r="AW24" s="633"/>
      <c r="AX24" s="633"/>
      <c r="AY24" s="633"/>
      <c r="AZ24" s="633"/>
      <c r="BA24" s="633"/>
      <c r="BB24" s="633"/>
      <c r="BC24" s="633"/>
      <c r="BD24" s="633"/>
      <c r="BE24" s="633"/>
      <c r="BF24" s="633"/>
      <c r="BG24" s="633"/>
      <c r="BH24" s="633"/>
      <c r="BI24" s="633"/>
      <c r="BJ24" s="633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</row>
    <row r="25" spans="1:74" ht="26.25" customHeight="1" x14ac:dyDescent="0.25">
      <c r="A25" s="915"/>
      <c r="B25" s="861"/>
      <c r="C25" s="915"/>
      <c r="D25" s="915"/>
      <c r="E25" s="915"/>
      <c r="F25" s="915"/>
      <c r="G25" s="915"/>
      <c r="H25" s="915"/>
      <c r="I25" s="999"/>
      <c r="J25" s="633"/>
      <c r="K25" s="633"/>
      <c r="L25" s="633"/>
      <c r="M25" s="633"/>
      <c r="N25" s="633"/>
      <c r="O25" s="633"/>
      <c r="P25" s="633"/>
      <c r="Q25" s="633"/>
      <c r="R25" s="633"/>
      <c r="S25" s="633"/>
      <c r="T25" s="633"/>
      <c r="U25" s="633"/>
      <c r="V25" s="633"/>
      <c r="W25" s="633"/>
      <c r="X25" s="633"/>
      <c r="Y25" s="633"/>
      <c r="Z25" s="633"/>
      <c r="AA25" s="633"/>
      <c r="AB25" s="633"/>
      <c r="AC25" s="633"/>
      <c r="AD25" s="303" t="s">
        <v>4</v>
      </c>
      <c r="AE25" s="304" t="s">
        <v>5</v>
      </c>
      <c r="AF25" s="303" t="s">
        <v>4</v>
      </c>
      <c r="AG25" s="304" t="s">
        <v>5</v>
      </c>
      <c r="AH25" s="303" t="s">
        <v>4</v>
      </c>
      <c r="AI25" s="304" t="s">
        <v>5</v>
      </c>
      <c r="AJ25" s="538" t="s">
        <v>4</v>
      </c>
      <c r="AK25" s="539" t="s">
        <v>5</v>
      </c>
      <c r="AL25" s="869"/>
      <c r="AM25" s="1003"/>
      <c r="AN25" s="861"/>
      <c r="AO25" s="918"/>
      <c r="AP25" s="1005"/>
      <c r="AQ25" s="918"/>
      <c r="AR25" s="918"/>
      <c r="AS25" s="861"/>
      <c r="AT25" s="633"/>
      <c r="AU25" s="633"/>
      <c r="AV25" s="633"/>
      <c r="AW25" s="633"/>
      <c r="AX25" s="633"/>
      <c r="AY25" s="633"/>
      <c r="AZ25" s="633"/>
      <c r="BA25" s="633"/>
      <c r="BB25" s="633"/>
      <c r="BC25" s="633"/>
      <c r="BD25" s="633"/>
      <c r="BE25" s="633"/>
      <c r="BF25" s="633"/>
      <c r="BG25" s="633"/>
      <c r="BH25" s="633"/>
      <c r="BI25" s="633"/>
      <c r="BJ25" s="633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</row>
    <row r="26" spans="1:74" x14ac:dyDescent="0.25">
      <c r="A26" s="13">
        <v>1</v>
      </c>
      <c r="B26" s="500">
        <v>42401</v>
      </c>
      <c r="C26" s="35" t="s">
        <v>149</v>
      </c>
      <c r="D26" s="273">
        <v>1967</v>
      </c>
      <c r="E26" s="273">
        <v>2</v>
      </c>
      <c r="F26" s="273">
        <v>12</v>
      </c>
      <c r="G26" s="273">
        <v>32</v>
      </c>
      <c r="H26" s="275">
        <v>506.67</v>
      </c>
      <c r="I26" s="275">
        <v>24.4</v>
      </c>
      <c r="J26" s="633"/>
      <c r="K26" s="633"/>
      <c r="L26" s="633"/>
      <c r="M26" s="633"/>
      <c r="N26" s="633"/>
      <c r="O26" s="633"/>
      <c r="P26" s="633"/>
      <c r="Q26" s="633"/>
      <c r="R26" s="633"/>
      <c r="S26" s="633"/>
      <c r="T26" s="633"/>
      <c r="U26" s="633"/>
      <c r="V26" s="633"/>
      <c r="W26" s="633"/>
      <c r="X26" s="633"/>
      <c r="Y26" s="633"/>
      <c r="Z26" s="633"/>
      <c r="AA26" s="633"/>
      <c r="AB26" s="633"/>
      <c r="AC26" s="633"/>
      <c r="AD26" s="636">
        <v>10136.700000000001</v>
      </c>
      <c r="AE26" s="636">
        <v>9352.7000000000007</v>
      </c>
      <c r="AF26" s="636">
        <f>AD26/7*12</f>
        <v>17377.2</v>
      </c>
      <c r="AG26" s="636"/>
      <c r="AH26" s="636">
        <f>AF26-AD26</f>
        <v>7240.5</v>
      </c>
      <c r="AI26" s="636">
        <f>AE9-AI9</f>
        <v>6172.7039261632017</v>
      </c>
      <c r="AJ26" s="636">
        <f>AF26</f>
        <v>17377.2</v>
      </c>
      <c r="AK26" s="636">
        <f>AE26+AI26</f>
        <v>15525.403926163202</v>
      </c>
      <c r="AL26" s="759">
        <f>AM26+AN26+AO26+AP26+AQ26+AR26</f>
        <v>3745.56</v>
      </c>
      <c r="AM26" s="236"/>
      <c r="AN26" s="236">
        <v>3745.56</v>
      </c>
      <c r="AO26" s="589"/>
      <c r="AP26" s="589"/>
      <c r="AQ26" s="589"/>
      <c r="AR26" s="589"/>
      <c r="AS26" s="597">
        <f>AJ26-AL26</f>
        <v>13631.640000000001</v>
      </c>
      <c r="AT26" s="589"/>
      <c r="AU26" s="589"/>
      <c r="AV26" s="589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7"/>
      <c r="BL26" s="637"/>
      <c r="BM26" s="637"/>
      <c r="BN26" s="637"/>
      <c r="BO26" s="637"/>
      <c r="BP26" s="637"/>
      <c r="BQ26" s="38"/>
      <c r="BR26" s="38"/>
      <c r="BS26" s="38"/>
      <c r="BT26" s="38"/>
      <c r="BU26" s="38"/>
      <c r="BV26" s="38"/>
    </row>
    <row r="27" spans="1:74" x14ac:dyDescent="0.25">
      <c r="A27" s="13">
        <v>2</v>
      </c>
      <c r="B27" s="500">
        <v>42767</v>
      </c>
      <c r="C27" s="35" t="s">
        <v>150</v>
      </c>
      <c r="D27" s="273">
        <v>1967</v>
      </c>
      <c r="E27" s="273">
        <v>2</v>
      </c>
      <c r="F27" s="273">
        <v>12</v>
      </c>
      <c r="G27" s="273">
        <v>38</v>
      </c>
      <c r="H27" s="275">
        <v>538.85</v>
      </c>
      <c r="I27" s="275">
        <v>24.4</v>
      </c>
      <c r="J27" s="633"/>
      <c r="K27" s="633"/>
      <c r="L27" s="633"/>
      <c r="M27" s="633"/>
      <c r="N27" s="633"/>
      <c r="O27" s="633"/>
      <c r="P27" s="633"/>
      <c r="Q27" s="633"/>
      <c r="R27" s="633"/>
      <c r="S27" s="633"/>
      <c r="T27" s="633"/>
      <c r="U27" s="633"/>
      <c r="V27" s="633"/>
      <c r="W27" s="633"/>
      <c r="X27" s="633"/>
      <c r="Y27" s="633"/>
      <c r="Z27" s="633"/>
      <c r="AA27" s="633"/>
      <c r="AB27" s="633"/>
      <c r="AC27" s="633"/>
      <c r="AD27" s="636">
        <v>10167.43</v>
      </c>
      <c r="AE27" s="636">
        <v>11585.76</v>
      </c>
      <c r="AF27" s="636">
        <f t="shared" ref="AF27:AF33" si="10">AD27/7*12</f>
        <v>17429.88</v>
      </c>
      <c r="AG27" s="636"/>
      <c r="AH27" s="636">
        <f t="shared" ref="AH27:AH33" si="11">AF27-AD27</f>
        <v>7262.4500000000007</v>
      </c>
      <c r="AI27" s="636">
        <f t="shared" ref="AI27:AI33" si="12">AE10-AI10</f>
        <v>6567.8627643257933</v>
      </c>
      <c r="AJ27" s="636">
        <f t="shared" ref="AJ27:AJ33" si="13">AF27</f>
        <v>17429.88</v>
      </c>
      <c r="AK27" s="636">
        <f t="shared" ref="AK27:AK33" si="14">AE27+AI27</f>
        <v>18153.622764325795</v>
      </c>
      <c r="AL27" s="759">
        <f t="shared" ref="AL27:AL33" si="15">AM27+AN27+AO27+AP27+AQ27+AR27</f>
        <v>0</v>
      </c>
      <c r="AM27" s="236"/>
      <c r="AN27" s="236"/>
      <c r="AO27" s="589"/>
      <c r="AP27" s="589"/>
      <c r="AQ27" s="589"/>
      <c r="AR27" s="589"/>
      <c r="AS27" s="597">
        <f t="shared" ref="AS27:AS33" si="16">AJ27-AL27</f>
        <v>17429.88</v>
      </c>
      <c r="AT27" s="589"/>
      <c r="AU27" s="589"/>
      <c r="AV27" s="589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7"/>
      <c r="BL27" s="637"/>
      <c r="BM27" s="637"/>
      <c r="BN27" s="637"/>
      <c r="BO27" s="637"/>
      <c r="BP27" s="637"/>
      <c r="BQ27" s="38"/>
      <c r="BR27" s="38"/>
      <c r="BS27" s="38"/>
      <c r="BT27" s="38"/>
      <c r="BU27" s="38"/>
      <c r="BV27" s="38"/>
    </row>
    <row r="28" spans="1:74" x14ac:dyDescent="0.25">
      <c r="A28" s="13">
        <v>3</v>
      </c>
      <c r="B28" s="501" t="s">
        <v>222</v>
      </c>
      <c r="C28" s="37" t="s">
        <v>152</v>
      </c>
      <c r="D28" s="258">
        <v>1990</v>
      </c>
      <c r="E28" s="258">
        <v>1</v>
      </c>
      <c r="F28" s="258">
        <v>1</v>
      </c>
      <c r="G28" s="258">
        <v>6</v>
      </c>
      <c r="H28" s="275">
        <v>63.7</v>
      </c>
      <c r="I28" s="275"/>
      <c r="J28" s="633"/>
      <c r="K28" s="633"/>
      <c r="L28" s="633"/>
      <c r="M28" s="633"/>
      <c r="N28" s="633"/>
      <c r="O28" s="633"/>
      <c r="P28" s="633"/>
      <c r="Q28" s="633"/>
      <c r="R28" s="633"/>
      <c r="S28" s="633"/>
      <c r="T28" s="633"/>
      <c r="U28" s="633"/>
      <c r="V28" s="633"/>
      <c r="W28" s="633"/>
      <c r="X28" s="633"/>
      <c r="Y28" s="633"/>
      <c r="Z28" s="633"/>
      <c r="AA28" s="633"/>
      <c r="AB28" s="633"/>
      <c r="AC28" s="633"/>
      <c r="AD28" s="636"/>
      <c r="AE28" s="636"/>
      <c r="AF28" s="636">
        <f t="shared" si="10"/>
        <v>0</v>
      </c>
      <c r="AG28" s="636"/>
      <c r="AH28" s="636">
        <f t="shared" si="11"/>
        <v>0</v>
      </c>
      <c r="AI28" s="636">
        <f t="shared" si="12"/>
        <v>0</v>
      </c>
      <c r="AJ28" s="636">
        <f t="shared" si="13"/>
        <v>0</v>
      </c>
      <c r="AK28" s="636">
        <f t="shared" si="14"/>
        <v>0</v>
      </c>
      <c r="AL28" s="759">
        <f t="shared" si="15"/>
        <v>0</v>
      </c>
      <c r="AM28" s="236"/>
      <c r="AN28" s="236"/>
      <c r="AO28" s="589"/>
      <c r="AP28" s="589"/>
      <c r="AQ28" s="589"/>
      <c r="AR28" s="589"/>
      <c r="AS28" s="597">
        <f t="shared" si="16"/>
        <v>0</v>
      </c>
      <c r="AT28" s="589"/>
      <c r="AU28" s="589"/>
      <c r="AV28" s="589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7"/>
      <c r="BL28" s="637"/>
      <c r="BM28" s="637"/>
      <c r="BN28" s="637"/>
      <c r="BO28" s="637"/>
      <c r="BP28" s="637"/>
      <c r="BQ28" s="38"/>
      <c r="BR28" s="38"/>
      <c r="BS28" s="38"/>
      <c r="BT28" s="38"/>
      <c r="BU28" s="38"/>
      <c r="BV28" s="38"/>
    </row>
    <row r="29" spans="1:74" x14ac:dyDescent="0.25">
      <c r="A29" s="13">
        <v>4</v>
      </c>
      <c r="B29" s="501" t="s">
        <v>223</v>
      </c>
      <c r="C29" s="37" t="s">
        <v>151</v>
      </c>
      <c r="D29" s="258">
        <v>1967</v>
      </c>
      <c r="E29" s="258">
        <v>2</v>
      </c>
      <c r="F29" s="258">
        <v>2</v>
      </c>
      <c r="G29" s="258">
        <v>12</v>
      </c>
      <c r="H29" s="275">
        <v>530.91999999999996</v>
      </c>
      <c r="I29" s="275"/>
      <c r="J29" s="633"/>
      <c r="K29" s="633"/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6">
        <v>10675.35</v>
      </c>
      <c r="AE29" s="636">
        <v>12523.44</v>
      </c>
      <c r="AF29" s="636">
        <f t="shared" si="10"/>
        <v>18300.599999999999</v>
      </c>
      <c r="AG29" s="636"/>
      <c r="AH29" s="636">
        <f t="shared" si="11"/>
        <v>7625.2499999999982</v>
      </c>
      <c r="AI29" s="636">
        <f t="shared" si="12"/>
        <v>7225.9912132584432</v>
      </c>
      <c r="AJ29" s="636">
        <f t="shared" si="13"/>
        <v>18300.599999999999</v>
      </c>
      <c r="AK29" s="636">
        <f t="shared" si="14"/>
        <v>19749.431213258445</v>
      </c>
      <c r="AL29" s="759">
        <f t="shared" si="15"/>
        <v>6298.98</v>
      </c>
      <c r="AM29" s="236"/>
      <c r="AN29" s="236"/>
      <c r="AO29" s="642"/>
      <c r="AP29" s="589"/>
      <c r="AQ29" s="589"/>
      <c r="AR29" s="589">
        <v>6298.98</v>
      </c>
      <c r="AS29" s="597">
        <f t="shared" si="16"/>
        <v>12001.619999999999</v>
      </c>
      <c r="AT29" s="589"/>
      <c r="AU29" s="589"/>
      <c r="AV29" s="589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7"/>
      <c r="BL29" s="637"/>
      <c r="BM29" s="637"/>
      <c r="BN29" s="637"/>
      <c r="BO29" s="637"/>
      <c r="BP29" s="637"/>
      <c r="BQ29" s="38"/>
      <c r="BR29" s="38"/>
      <c r="BS29" s="38"/>
      <c r="BT29" s="38"/>
      <c r="BU29" s="38"/>
      <c r="BV29" s="38"/>
    </row>
    <row r="30" spans="1:74" x14ac:dyDescent="0.25">
      <c r="A30" s="197">
        <v>5</v>
      </c>
      <c r="B30" s="501" t="s">
        <v>222</v>
      </c>
      <c r="C30" s="37" t="s">
        <v>153</v>
      </c>
      <c r="D30" s="258">
        <v>1990</v>
      </c>
      <c r="E30" s="258">
        <v>1</v>
      </c>
      <c r="F30" s="258">
        <v>1</v>
      </c>
      <c r="G30" s="258">
        <v>9</v>
      </c>
      <c r="H30" s="275">
        <v>72.5</v>
      </c>
      <c r="I30" s="275">
        <v>24.08</v>
      </c>
      <c r="J30" s="633"/>
      <c r="K30" s="633"/>
      <c r="L30" s="633"/>
      <c r="M30" s="633"/>
      <c r="N30" s="633"/>
      <c r="O30" s="633"/>
      <c r="P30" s="633"/>
      <c r="Q30" s="633"/>
      <c r="R30" s="633"/>
      <c r="S30" s="633"/>
      <c r="T30" s="633"/>
      <c r="U30" s="633"/>
      <c r="V30" s="633"/>
      <c r="W30" s="633"/>
      <c r="X30" s="633"/>
      <c r="Y30" s="633"/>
      <c r="Z30" s="633"/>
      <c r="AA30" s="633"/>
      <c r="AB30" s="633"/>
      <c r="AC30" s="633"/>
      <c r="AD30" s="636"/>
      <c r="AE30" s="636"/>
      <c r="AF30" s="636">
        <f t="shared" si="10"/>
        <v>0</v>
      </c>
      <c r="AG30" s="636"/>
      <c r="AH30" s="636">
        <f t="shared" si="11"/>
        <v>0</v>
      </c>
      <c r="AI30" s="636">
        <f t="shared" si="12"/>
        <v>0</v>
      </c>
      <c r="AJ30" s="636">
        <f t="shared" si="13"/>
        <v>0</v>
      </c>
      <c r="AK30" s="636">
        <f t="shared" si="14"/>
        <v>0</v>
      </c>
      <c r="AL30" s="759">
        <f t="shared" si="15"/>
        <v>0</v>
      </c>
      <c r="AM30" s="236"/>
      <c r="AN30" s="236"/>
      <c r="AO30" s="642"/>
      <c r="AP30" s="589"/>
      <c r="AQ30" s="589"/>
      <c r="AR30" s="589"/>
      <c r="AS30" s="597">
        <f t="shared" si="16"/>
        <v>0</v>
      </c>
      <c r="AT30" s="589"/>
      <c r="AU30" s="589"/>
      <c r="AV30" s="589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7"/>
      <c r="BL30" s="637"/>
      <c r="BM30" s="637"/>
      <c r="BN30" s="637"/>
      <c r="BO30" s="637"/>
      <c r="BP30" s="637"/>
      <c r="BQ30" s="38"/>
      <c r="BR30" s="38"/>
      <c r="BS30" s="38"/>
      <c r="BT30" s="38"/>
      <c r="BU30" s="38"/>
      <c r="BV30" s="38"/>
    </row>
    <row r="31" spans="1:74" ht="15.75" customHeight="1" x14ac:dyDescent="0.25">
      <c r="A31" s="13">
        <v>6</v>
      </c>
      <c r="B31" s="500">
        <v>42401</v>
      </c>
      <c r="C31" s="35" t="s">
        <v>154</v>
      </c>
      <c r="D31" s="273">
        <v>1994</v>
      </c>
      <c r="E31" s="273">
        <v>3</v>
      </c>
      <c r="F31" s="273">
        <v>24</v>
      </c>
      <c r="G31" s="273">
        <v>65</v>
      </c>
      <c r="H31" s="275">
        <v>1442.3</v>
      </c>
      <c r="I31" s="275">
        <v>129.6</v>
      </c>
      <c r="J31" s="633"/>
      <c r="K31" s="633"/>
      <c r="L31" s="633"/>
      <c r="M31" s="633"/>
      <c r="N31" s="633"/>
      <c r="O31" s="633"/>
      <c r="P31" s="633"/>
      <c r="Q31" s="633"/>
      <c r="R31" s="633"/>
      <c r="S31" s="633"/>
      <c r="T31" s="633"/>
      <c r="U31" s="633"/>
      <c r="V31" s="633"/>
      <c r="W31" s="633"/>
      <c r="X31" s="633"/>
      <c r="Y31" s="633"/>
      <c r="Z31" s="633"/>
      <c r="AA31" s="633"/>
      <c r="AB31" s="633"/>
      <c r="AC31" s="633"/>
      <c r="AD31" s="636">
        <v>29278.69</v>
      </c>
      <c r="AE31" s="636">
        <v>33237.81</v>
      </c>
      <c r="AF31" s="636">
        <f t="shared" si="10"/>
        <v>50192.04</v>
      </c>
      <c r="AG31" s="636"/>
      <c r="AH31" s="636">
        <f t="shared" si="11"/>
        <v>20913.350000000002</v>
      </c>
      <c r="AI31" s="636">
        <f t="shared" si="12"/>
        <v>20247.156218868709</v>
      </c>
      <c r="AJ31" s="636">
        <f t="shared" si="13"/>
        <v>50192.04</v>
      </c>
      <c r="AK31" s="636">
        <f t="shared" si="14"/>
        <v>53484.966218868707</v>
      </c>
      <c r="AL31" s="759">
        <f t="shared" si="15"/>
        <v>18724.239999999998</v>
      </c>
      <c r="AM31" s="236">
        <v>11000</v>
      </c>
      <c r="AN31" s="236">
        <v>7724.24</v>
      </c>
      <c r="AO31" s="642"/>
      <c r="AP31" s="589"/>
      <c r="AQ31" s="589"/>
      <c r="AR31" s="589"/>
      <c r="AS31" s="597">
        <f t="shared" si="16"/>
        <v>31467.800000000003</v>
      </c>
      <c r="AT31" s="589"/>
      <c r="AU31" s="589"/>
      <c r="AV31" s="589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7"/>
      <c r="BL31" s="637"/>
      <c r="BM31" s="637"/>
      <c r="BN31" s="637"/>
      <c r="BO31" s="637"/>
      <c r="BP31" s="637"/>
      <c r="BQ31" s="38"/>
      <c r="BR31" s="38"/>
      <c r="BS31" s="38"/>
      <c r="BT31" s="38"/>
      <c r="BU31" s="38"/>
      <c r="BV31" s="38"/>
    </row>
    <row r="32" spans="1:74" ht="15" customHeight="1" x14ac:dyDescent="0.25">
      <c r="A32" s="13">
        <v>7</v>
      </c>
      <c r="B32" s="500">
        <v>42401</v>
      </c>
      <c r="C32" s="35" t="s">
        <v>155</v>
      </c>
      <c r="D32" s="273">
        <v>1989</v>
      </c>
      <c r="E32" s="273">
        <v>3</v>
      </c>
      <c r="F32" s="273">
        <v>24</v>
      </c>
      <c r="G32" s="273">
        <v>61</v>
      </c>
      <c r="H32" s="275">
        <v>1454.5</v>
      </c>
      <c r="I32" s="275">
        <v>129.6</v>
      </c>
      <c r="J32" s="633"/>
      <c r="K32" s="633"/>
      <c r="L32" s="634"/>
      <c r="M32" s="634"/>
      <c r="N32" s="634"/>
      <c r="O32" s="634"/>
      <c r="P32" s="634"/>
      <c r="Q32" s="634"/>
      <c r="R32" s="634"/>
      <c r="S32" s="634"/>
      <c r="T32" s="634"/>
      <c r="U32" s="634"/>
      <c r="V32" s="634"/>
      <c r="W32" s="634"/>
      <c r="X32" s="634"/>
      <c r="Y32" s="634"/>
      <c r="Z32" s="634"/>
      <c r="AA32" s="634"/>
      <c r="AB32" s="634"/>
      <c r="AC32" s="634"/>
      <c r="AD32" s="636">
        <v>29526.35</v>
      </c>
      <c r="AE32" s="636">
        <v>34807.69</v>
      </c>
      <c r="AF32" s="636">
        <f t="shared" si="10"/>
        <v>50616.600000000006</v>
      </c>
      <c r="AG32" s="636"/>
      <c r="AH32" s="636">
        <f t="shared" si="11"/>
        <v>21090.250000000007</v>
      </c>
      <c r="AI32" s="636">
        <f t="shared" si="12"/>
        <v>19692.380355681438</v>
      </c>
      <c r="AJ32" s="636">
        <f t="shared" si="13"/>
        <v>50616.600000000006</v>
      </c>
      <c r="AK32" s="636">
        <f t="shared" si="14"/>
        <v>54500.070355681441</v>
      </c>
      <c r="AL32" s="759">
        <f t="shared" si="15"/>
        <v>22536.51</v>
      </c>
      <c r="AM32" s="236">
        <v>15400</v>
      </c>
      <c r="AN32" s="236"/>
      <c r="AO32" s="642">
        <v>6741</v>
      </c>
      <c r="AP32" s="589">
        <v>327.01</v>
      </c>
      <c r="AQ32" s="589">
        <v>68.5</v>
      </c>
      <c r="AR32" s="589"/>
      <c r="AS32" s="597">
        <f t="shared" si="16"/>
        <v>28080.090000000007</v>
      </c>
      <c r="AT32" s="589"/>
      <c r="AU32" s="589"/>
      <c r="AV32" s="195"/>
      <c r="AW32" s="638"/>
      <c r="AX32" s="638"/>
      <c r="AY32" s="638"/>
      <c r="AZ32" s="638"/>
      <c r="BA32" s="638"/>
      <c r="BB32" s="638"/>
      <c r="BC32" s="638"/>
      <c r="BD32" s="638"/>
      <c r="BE32" s="638"/>
      <c r="BF32" s="638"/>
      <c r="BG32" s="638"/>
      <c r="BH32" s="637"/>
      <c r="BI32" s="637"/>
      <c r="BJ32" s="637"/>
      <c r="BK32" s="637"/>
      <c r="BL32" s="637"/>
      <c r="BM32" s="637"/>
      <c r="BN32" s="637"/>
      <c r="BO32" s="637"/>
      <c r="BP32" s="637"/>
      <c r="BQ32" s="38"/>
      <c r="BR32" s="38"/>
      <c r="BS32" s="38"/>
      <c r="BT32" s="38"/>
      <c r="BU32" s="38"/>
      <c r="BV32" s="38"/>
    </row>
    <row r="33" spans="1:74" ht="15" customHeight="1" x14ac:dyDescent="0.25">
      <c r="A33" s="98">
        <v>8</v>
      </c>
      <c r="B33" s="502">
        <v>42401</v>
      </c>
      <c r="C33" s="99" t="s">
        <v>156</v>
      </c>
      <c r="D33" s="277">
        <v>1961</v>
      </c>
      <c r="E33" s="277">
        <v>1</v>
      </c>
      <c r="F33" s="277">
        <v>2</v>
      </c>
      <c r="G33" s="277">
        <v>0</v>
      </c>
      <c r="H33" s="393">
        <v>76.400000000000006</v>
      </c>
      <c r="I33" s="392"/>
      <c r="J33" s="633"/>
      <c r="K33" s="633"/>
      <c r="L33" s="634"/>
      <c r="M33" s="634"/>
      <c r="N33" s="634"/>
      <c r="O33" s="634"/>
      <c r="P33" s="634"/>
      <c r="Q33" s="634"/>
      <c r="R33" s="634"/>
      <c r="S33" s="634"/>
      <c r="T33" s="634"/>
      <c r="U33" s="634"/>
      <c r="V33" s="634"/>
      <c r="W33" s="634"/>
      <c r="X33" s="634"/>
      <c r="Y33" s="634"/>
      <c r="Z33" s="634"/>
      <c r="AA33" s="634"/>
      <c r="AB33" s="634"/>
      <c r="AC33" s="634"/>
      <c r="AD33" s="636"/>
      <c r="AE33" s="636"/>
      <c r="AF33" s="636">
        <f t="shared" si="10"/>
        <v>0</v>
      </c>
      <c r="AG33" s="636"/>
      <c r="AH33" s="636">
        <f t="shared" si="11"/>
        <v>0</v>
      </c>
      <c r="AI33" s="636">
        <f t="shared" si="12"/>
        <v>0</v>
      </c>
      <c r="AJ33" s="636">
        <f t="shared" si="13"/>
        <v>0</v>
      </c>
      <c r="AK33" s="636">
        <f t="shared" si="14"/>
        <v>0</v>
      </c>
      <c r="AL33" s="759">
        <f t="shared" si="15"/>
        <v>0</v>
      </c>
      <c r="AM33" s="236"/>
      <c r="AN33" s="236"/>
      <c r="AO33" s="636"/>
      <c r="AP33" s="636"/>
      <c r="AQ33" s="636"/>
      <c r="AR33" s="636"/>
      <c r="AS33" s="597">
        <f t="shared" si="16"/>
        <v>0</v>
      </c>
      <c r="AT33" s="636"/>
      <c r="AU33" s="636"/>
      <c r="AV33" s="638"/>
      <c r="AW33" s="638"/>
      <c r="AX33" s="638"/>
      <c r="AY33" s="638"/>
      <c r="AZ33" s="638"/>
      <c r="BA33" s="638"/>
      <c r="BB33" s="638"/>
      <c r="BC33" s="638"/>
      <c r="BD33" s="638"/>
      <c r="BE33" s="638"/>
      <c r="BF33" s="638"/>
      <c r="BG33" s="638"/>
      <c r="BH33" s="637"/>
      <c r="BI33" s="637"/>
      <c r="BJ33" s="637"/>
      <c r="BK33" s="637"/>
      <c r="BL33" s="637"/>
      <c r="BM33" s="637"/>
      <c r="BN33" s="637"/>
      <c r="BO33" s="637"/>
      <c r="BP33" s="637"/>
      <c r="BQ33" s="38"/>
      <c r="BR33" s="38"/>
      <c r="BS33" s="38"/>
      <c r="BT33" s="38"/>
      <c r="BU33" s="38"/>
      <c r="BV33" s="38"/>
    </row>
    <row r="34" spans="1:74" ht="15" customHeight="1" x14ac:dyDescent="0.25">
      <c r="A34" s="13"/>
      <c r="B34" s="13"/>
      <c r="C34" s="156" t="s">
        <v>184</v>
      </c>
      <c r="D34" s="258"/>
      <c r="E34" s="258"/>
      <c r="F34" s="259">
        <f>SUM(F26:F33)</f>
        <v>78</v>
      </c>
      <c r="G34" s="259">
        <f>SUM(G26:G33)</f>
        <v>223</v>
      </c>
      <c r="H34" s="234">
        <f>SUM(H26:H33)</f>
        <v>4685.8399999999992</v>
      </c>
      <c r="I34" s="632">
        <f>SUM(I26:I33)</f>
        <v>332.08</v>
      </c>
      <c r="J34" s="633"/>
      <c r="K34" s="633"/>
      <c r="L34" s="634"/>
      <c r="M34" s="634"/>
      <c r="N34" s="634"/>
      <c r="O34" s="634"/>
      <c r="P34" s="634"/>
      <c r="Q34" s="634"/>
      <c r="R34" s="634"/>
      <c r="S34" s="634"/>
      <c r="T34" s="634"/>
      <c r="U34" s="634"/>
      <c r="V34" s="634"/>
      <c r="W34" s="634"/>
      <c r="X34" s="634"/>
      <c r="Y34" s="634"/>
      <c r="Z34" s="634"/>
      <c r="AA34" s="634"/>
      <c r="AB34" s="634"/>
      <c r="AC34" s="634"/>
      <c r="AD34" s="639">
        <f>SUM(AD26:AD33)</f>
        <v>89784.51999999999</v>
      </c>
      <c r="AE34" s="639">
        <f t="shared" ref="AE34:AJ34" si="17">SUM(AE26:AE33)</f>
        <v>101507.4</v>
      </c>
      <c r="AF34" s="639">
        <f t="shared" si="17"/>
        <v>153916.32</v>
      </c>
      <c r="AG34" s="639">
        <f t="shared" si="17"/>
        <v>0</v>
      </c>
      <c r="AH34" s="639">
        <f t="shared" si="17"/>
        <v>64131.80000000001</v>
      </c>
      <c r="AI34" s="639">
        <f t="shared" si="17"/>
        <v>59906.094478297586</v>
      </c>
      <c r="AJ34" s="639">
        <f t="shared" si="17"/>
        <v>153916.32</v>
      </c>
      <c r="AK34" s="639">
        <f>SUM(AK26:AK33)</f>
        <v>161413.49447829759</v>
      </c>
      <c r="AL34" s="644">
        <f>SUM(AL26:AL33)</f>
        <v>51305.289999999994</v>
      </c>
      <c r="AM34" s="644">
        <f>SUM(AM26:AM33)</f>
        <v>26400</v>
      </c>
      <c r="AN34" s="644">
        <f t="shared" ref="AN34:BP34" si="18">SUM(AN26:AN33)</f>
        <v>11469.8</v>
      </c>
      <c r="AO34" s="644">
        <f t="shared" si="18"/>
        <v>6741</v>
      </c>
      <c r="AP34" s="643">
        <f t="shared" si="18"/>
        <v>327.01</v>
      </c>
      <c r="AQ34" s="643">
        <f t="shared" si="18"/>
        <v>68.5</v>
      </c>
      <c r="AR34" s="643">
        <f t="shared" si="18"/>
        <v>6298.98</v>
      </c>
      <c r="AS34" s="643">
        <f t="shared" si="18"/>
        <v>102611.03000000001</v>
      </c>
      <c r="AT34" s="643">
        <f t="shared" si="18"/>
        <v>0</v>
      </c>
      <c r="AU34" s="643">
        <f t="shared" si="18"/>
        <v>0</v>
      </c>
      <c r="AV34" s="643">
        <f t="shared" si="18"/>
        <v>0</v>
      </c>
      <c r="AW34" s="643">
        <f t="shared" si="18"/>
        <v>0</v>
      </c>
      <c r="AX34" s="643">
        <f t="shared" si="18"/>
        <v>0</v>
      </c>
      <c r="AY34" s="643">
        <f t="shared" si="18"/>
        <v>0</v>
      </c>
      <c r="AZ34" s="643">
        <f t="shared" si="18"/>
        <v>0</v>
      </c>
      <c r="BA34" s="643">
        <f t="shared" si="18"/>
        <v>0</v>
      </c>
      <c r="BB34" s="643">
        <f t="shared" si="18"/>
        <v>0</v>
      </c>
      <c r="BC34" s="643">
        <f t="shared" si="18"/>
        <v>0</v>
      </c>
      <c r="BD34" s="643">
        <f t="shared" si="18"/>
        <v>0</v>
      </c>
      <c r="BE34" s="643">
        <f t="shared" si="18"/>
        <v>0</v>
      </c>
      <c r="BF34" s="643">
        <f t="shared" si="18"/>
        <v>0</v>
      </c>
      <c r="BG34" s="643">
        <f t="shared" si="18"/>
        <v>0</v>
      </c>
      <c r="BH34" s="643">
        <f t="shared" si="18"/>
        <v>0</v>
      </c>
      <c r="BI34" s="643">
        <f t="shared" si="18"/>
        <v>0</v>
      </c>
      <c r="BJ34" s="643">
        <f t="shared" si="18"/>
        <v>0</v>
      </c>
      <c r="BK34" s="643">
        <f t="shared" si="18"/>
        <v>0</v>
      </c>
      <c r="BL34" s="643">
        <f t="shared" si="18"/>
        <v>0</v>
      </c>
      <c r="BM34" s="643">
        <f t="shared" si="18"/>
        <v>0</v>
      </c>
      <c r="BN34" s="643">
        <f t="shared" si="18"/>
        <v>0</v>
      </c>
      <c r="BO34" s="643">
        <f t="shared" si="18"/>
        <v>0</v>
      </c>
      <c r="BP34" s="643">
        <f t="shared" si="18"/>
        <v>0</v>
      </c>
      <c r="BQ34" s="639">
        <f t="shared" ref="BQ34:BV34" si="19">SUM(BQ26:BQ33)</f>
        <v>0</v>
      </c>
      <c r="BR34" s="639">
        <f t="shared" si="19"/>
        <v>0</v>
      </c>
      <c r="BS34" s="639">
        <f t="shared" si="19"/>
        <v>0</v>
      </c>
      <c r="BT34" s="639">
        <f t="shared" si="19"/>
        <v>0</v>
      </c>
      <c r="BU34" s="639">
        <f t="shared" si="19"/>
        <v>0</v>
      </c>
      <c r="BV34" s="639">
        <f t="shared" si="19"/>
        <v>0</v>
      </c>
    </row>
    <row r="35" spans="1:74" ht="15.75" customHeight="1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635"/>
      <c r="BL35" s="635"/>
      <c r="BM35" s="635"/>
      <c r="BN35" s="635"/>
      <c r="BO35" s="635"/>
      <c r="BP35" s="635"/>
    </row>
    <row r="36" spans="1:74" ht="15" customHeight="1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619" t="s">
        <v>346</v>
      </c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</row>
    <row r="37" spans="1:74" ht="15" customHeight="1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</row>
    <row r="38" spans="1:74" ht="15" customHeight="1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</row>
    <row r="39" spans="1:74" ht="15" customHeight="1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</row>
    <row r="40" spans="1:74" ht="15" customHeight="1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</row>
    <row r="41" spans="1:74" ht="15" customHeight="1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</row>
    <row r="42" spans="1:74" ht="15" customHeight="1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</row>
    <row r="43" spans="1:74" ht="15" customHeight="1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</row>
    <row r="44" spans="1:74" ht="15" customHeight="1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</row>
    <row r="45" spans="1:74" ht="15" customHeight="1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32"/>
      <c r="M45" s="132"/>
      <c r="N45" s="132"/>
      <c r="O45" s="132"/>
      <c r="P45" s="189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</row>
    <row r="46" spans="1:74" ht="15" customHeight="1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</row>
    <row r="47" spans="1:74" ht="15" customHeight="1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</row>
    <row r="48" spans="1:74" ht="15" customHeight="1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</row>
    <row r="49" spans="1:59" ht="15" customHeight="1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</row>
    <row r="50" spans="1:59" ht="15" customHeight="1" x14ac:dyDescent="0.25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</row>
    <row r="51" spans="1:59" ht="15" customHeight="1" x14ac:dyDescent="0.25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</row>
    <row r="52" spans="1:59" ht="15" customHeight="1" x14ac:dyDescent="0.25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</row>
    <row r="53" spans="1:59" ht="15" customHeight="1" x14ac:dyDescent="0.25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</row>
    <row r="54" spans="1:59" ht="15" customHeight="1" x14ac:dyDescent="0.25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</row>
    <row r="55" spans="1:59" ht="15" customHeight="1" x14ac:dyDescent="0.25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</row>
    <row r="56" spans="1:59" ht="15" customHeight="1" x14ac:dyDescent="0.25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</row>
    <row r="57" spans="1:59" ht="15" customHeight="1" x14ac:dyDescent="0.2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</row>
    <row r="58" spans="1:59" ht="15" customHeight="1" x14ac:dyDescent="0.25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</row>
    <row r="59" spans="1:59" ht="15" customHeight="1" x14ac:dyDescent="0.25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</row>
    <row r="60" spans="1:59" ht="15" customHeight="1" x14ac:dyDescent="0.25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</row>
    <row r="61" spans="1:59" ht="15" customHeight="1" x14ac:dyDescent="0.25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</row>
    <row r="62" spans="1:59" ht="15" customHeight="1" x14ac:dyDescent="0.25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</row>
    <row r="63" spans="1:59" ht="15" customHeight="1" x14ac:dyDescent="0.25">
      <c r="A63" s="110"/>
      <c r="B63" s="110"/>
      <c r="C63" s="110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</row>
    <row r="64" spans="1:59" ht="15" customHeight="1" x14ac:dyDescent="0.25">
      <c r="A64" s="110"/>
      <c r="B64" s="110"/>
      <c r="C64" s="110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11"/>
      <c r="BC64" s="111"/>
      <c r="BD64" s="111"/>
      <c r="BE64" s="111"/>
      <c r="BF64" s="111"/>
      <c r="BG64" s="111"/>
    </row>
    <row r="65" spans="1:59" ht="15" customHeight="1" x14ac:dyDescent="0.25">
      <c r="A65" s="110"/>
      <c r="B65" s="110"/>
      <c r="C65" s="110"/>
      <c r="D65" s="132"/>
      <c r="E65" s="132"/>
      <c r="F65" s="132"/>
      <c r="G65" s="132"/>
      <c r="H65" s="132"/>
      <c r="I65" s="507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11"/>
      <c r="BC65" s="111"/>
      <c r="BD65" s="111"/>
      <c r="BE65" s="111"/>
      <c r="BF65" s="111"/>
      <c r="BG65" s="111"/>
    </row>
    <row r="66" spans="1:59" ht="15" customHeight="1" x14ac:dyDescent="0.25">
      <c r="A66" s="110"/>
      <c r="B66" s="110"/>
      <c r="C66" s="110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11"/>
      <c r="BC66" s="111"/>
      <c r="BD66" s="111"/>
      <c r="BE66" s="111"/>
      <c r="BF66" s="111"/>
      <c r="BG66" s="111"/>
    </row>
    <row r="67" spans="1:59" ht="15" customHeight="1" x14ac:dyDescent="0.25">
      <c r="A67" s="110"/>
      <c r="B67" s="110"/>
      <c r="C67" s="110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11"/>
      <c r="BC67" s="111"/>
      <c r="BD67" s="111"/>
      <c r="BE67" s="111"/>
      <c r="BF67" s="111"/>
      <c r="BG67" s="111"/>
    </row>
    <row r="68" spans="1:59" ht="15" customHeight="1" x14ac:dyDescent="0.25">
      <c r="A68" s="110"/>
      <c r="B68" s="110"/>
      <c r="C68" s="110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11"/>
      <c r="BC68" s="111"/>
      <c r="BD68" s="111"/>
      <c r="BE68" s="111"/>
      <c r="BF68" s="111"/>
      <c r="BG68" s="111"/>
    </row>
    <row r="69" spans="1:59" ht="15" customHeight="1" x14ac:dyDescent="0.25">
      <c r="A69" s="110"/>
      <c r="B69" s="110"/>
      <c r="C69" s="110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11"/>
      <c r="BC69" s="111"/>
      <c r="BD69" s="111"/>
      <c r="BE69" s="111"/>
      <c r="BF69" s="111"/>
      <c r="BG69" s="111"/>
    </row>
    <row r="70" spans="1:59" ht="15" customHeight="1" x14ac:dyDescent="0.25">
      <c r="A70" s="110"/>
      <c r="B70" s="110"/>
      <c r="C70" s="110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11"/>
      <c r="BC70" s="111"/>
      <c r="BD70" s="111"/>
      <c r="BE70" s="111"/>
      <c r="BF70" s="111"/>
      <c r="BG70" s="111"/>
    </row>
    <row r="71" spans="1:59" ht="15" customHeight="1" x14ac:dyDescent="0.25">
      <c r="A71" s="110"/>
      <c r="B71" s="110"/>
      <c r="C71" s="110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11"/>
      <c r="BC71" s="111"/>
      <c r="BD71" s="111"/>
      <c r="BE71" s="111"/>
      <c r="BF71" s="111"/>
      <c r="BG71" s="111"/>
    </row>
    <row r="72" spans="1:59" ht="15" customHeight="1" x14ac:dyDescent="0.25">
      <c r="A72" s="110"/>
      <c r="B72" s="110"/>
      <c r="C72" s="110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11"/>
      <c r="BC72" s="111"/>
      <c r="BD72" s="111"/>
      <c r="BE72" s="111"/>
      <c r="BF72" s="111"/>
      <c r="BG72" s="111"/>
    </row>
    <row r="73" spans="1:59" ht="15.75" customHeight="1" x14ac:dyDescent="0.25">
      <c r="A73" s="110"/>
      <c r="B73" s="110"/>
      <c r="C73" s="110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11"/>
      <c r="BC73" s="111"/>
      <c r="BD73" s="111"/>
      <c r="BE73" s="111"/>
      <c r="BF73" s="111"/>
      <c r="BG73" s="111"/>
    </row>
    <row r="74" spans="1:59" ht="15.75" customHeight="1" x14ac:dyDescent="0.25">
      <c r="A74" s="110"/>
      <c r="B74" s="110"/>
      <c r="C74" s="110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11"/>
      <c r="BC74" s="111"/>
      <c r="BD74" s="111"/>
      <c r="BE74" s="111"/>
      <c r="BF74" s="111"/>
      <c r="BG74" s="111"/>
    </row>
    <row r="75" spans="1:59" ht="15" customHeight="1" x14ac:dyDescent="0.25">
      <c r="A75" s="110"/>
      <c r="B75" s="110"/>
      <c r="C75" s="110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11"/>
      <c r="BC75" s="111"/>
      <c r="BD75" s="111"/>
      <c r="BE75" s="111"/>
      <c r="BF75" s="111"/>
      <c r="BG75" s="111"/>
    </row>
    <row r="76" spans="1:59" ht="15" customHeight="1" x14ac:dyDescent="0.25">
      <c r="A76" s="110"/>
      <c r="B76" s="110"/>
      <c r="C76" s="110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11"/>
      <c r="BC76" s="111"/>
      <c r="BD76" s="111"/>
      <c r="BE76" s="111"/>
      <c r="BF76" s="111"/>
      <c r="BG76" s="111"/>
    </row>
    <row r="77" spans="1:59" ht="15" customHeight="1" x14ac:dyDescent="0.25">
      <c r="A77" s="110"/>
      <c r="B77" s="110"/>
      <c r="C77" s="110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11"/>
      <c r="BC77" s="111"/>
      <c r="BD77" s="111"/>
      <c r="BE77" s="111"/>
      <c r="BF77" s="111"/>
      <c r="BG77" s="111"/>
    </row>
    <row r="78" spans="1:59" ht="15" customHeight="1" x14ac:dyDescent="0.25">
      <c r="A78" s="110"/>
      <c r="B78" s="110"/>
      <c r="C78" s="110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11"/>
      <c r="BC78" s="111"/>
      <c r="BD78" s="111"/>
      <c r="BE78" s="111"/>
      <c r="BF78" s="111"/>
      <c r="BG78" s="111"/>
    </row>
    <row r="79" spans="1:59" ht="15" customHeight="1" x14ac:dyDescent="0.25">
      <c r="A79" s="110"/>
      <c r="B79" s="110"/>
      <c r="C79" s="110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11"/>
      <c r="BC79" s="111"/>
      <c r="BD79" s="111"/>
      <c r="BE79" s="111"/>
      <c r="BF79" s="111"/>
      <c r="BG79" s="111"/>
    </row>
    <row r="80" spans="1:59" ht="15.75" customHeight="1" x14ac:dyDescent="0.25">
      <c r="A80" s="110"/>
      <c r="B80" s="110"/>
      <c r="C80" s="110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11"/>
      <c r="BC80" s="111"/>
      <c r="BD80" s="111"/>
      <c r="BE80" s="111"/>
      <c r="BF80" s="111"/>
      <c r="BG80" s="111"/>
    </row>
    <row r="81" spans="1:59" ht="15.75" customHeight="1" x14ac:dyDescent="0.25">
      <c r="A81" s="110"/>
      <c r="B81" s="110"/>
      <c r="C81" s="110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11"/>
      <c r="BC81" s="111"/>
      <c r="BD81" s="111"/>
      <c r="BE81" s="111"/>
      <c r="BF81" s="111"/>
      <c r="BG81" s="111"/>
    </row>
    <row r="82" spans="1:59" ht="15" customHeight="1" x14ac:dyDescent="0.25">
      <c r="A82" s="110"/>
      <c r="B82" s="110"/>
      <c r="C82" s="110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11"/>
      <c r="BC82" s="111"/>
      <c r="BD82" s="111"/>
      <c r="BE82" s="111"/>
      <c r="BF82" s="111"/>
      <c r="BG82" s="111"/>
    </row>
    <row r="83" spans="1:59" ht="15.75" customHeight="1" x14ac:dyDescent="0.25">
      <c r="A83" s="110"/>
      <c r="B83" s="110"/>
      <c r="C83" s="110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11"/>
      <c r="BC83" s="111"/>
      <c r="BD83" s="111"/>
      <c r="BE83" s="111"/>
      <c r="BF83" s="111"/>
      <c r="BG83" s="111"/>
    </row>
    <row r="84" spans="1:59" ht="15.75" customHeight="1" x14ac:dyDescent="0.25">
      <c r="A84" s="110"/>
      <c r="B84" s="110"/>
      <c r="C84" s="110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11"/>
      <c r="BC84" s="111"/>
      <c r="BD84" s="111"/>
      <c r="BE84" s="111"/>
      <c r="BF84" s="111"/>
      <c r="BG84" s="111"/>
    </row>
    <row r="85" spans="1:59" ht="15" customHeight="1" x14ac:dyDescent="0.25">
      <c r="A85" s="110"/>
      <c r="B85" s="110"/>
      <c r="C85" s="110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11"/>
      <c r="BC85" s="111"/>
      <c r="BD85" s="111"/>
      <c r="BE85" s="111"/>
      <c r="BF85" s="111"/>
      <c r="BG85" s="111"/>
    </row>
    <row r="86" spans="1:59" ht="15" customHeight="1" x14ac:dyDescent="0.25">
      <c r="A86" s="110"/>
      <c r="B86" s="110"/>
      <c r="C86" s="110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11"/>
      <c r="BC86" s="111"/>
      <c r="BD86" s="111"/>
      <c r="BE86" s="111"/>
      <c r="BF86" s="111"/>
      <c r="BG86" s="111"/>
    </row>
    <row r="87" spans="1:59" ht="15.75" x14ac:dyDescent="0.25">
      <c r="A87" s="110"/>
      <c r="B87" s="110"/>
      <c r="C87" s="110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11"/>
      <c r="BC87" s="111"/>
      <c r="BD87" s="111"/>
      <c r="BE87" s="111"/>
      <c r="BF87" s="111"/>
      <c r="BG87" s="111"/>
    </row>
    <row r="88" spans="1:59" ht="15.75" x14ac:dyDescent="0.25">
      <c r="A88" s="110"/>
      <c r="B88" s="110"/>
      <c r="C88" s="110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11"/>
      <c r="BC88" s="111"/>
      <c r="BD88" s="111"/>
      <c r="BE88" s="111"/>
      <c r="BF88" s="111"/>
      <c r="BG88" s="111"/>
    </row>
    <row r="89" spans="1:59" ht="15" customHeight="1" x14ac:dyDescent="0.25">
      <c r="A89" s="110"/>
      <c r="B89" s="110"/>
      <c r="C89" s="110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11"/>
      <c r="BC89" s="111"/>
      <c r="BD89" s="111"/>
      <c r="BE89" s="111"/>
      <c r="BF89" s="111"/>
      <c r="BG89" s="111"/>
    </row>
    <row r="90" spans="1:59" ht="15" customHeight="1" x14ac:dyDescent="0.25">
      <c r="A90" s="110"/>
      <c r="B90" s="110"/>
      <c r="C90" s="110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11"/>
      <c r="BC90" s="111"/>
      <c r="BD90" s="111"/>
      <c r="BE90" s="111"/>
      <c r="BF90" s="111"/>
      <c r="BG90" s="111"/>
    </row>
    <row r="91" spans="1:59" ht="15" customHeight="1" x14ac:dyDescent="0.25">
      <c r="A91" s="110"/>
      <c r="B91" s="110"/>
      <c r="C91" s="110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11"/>
      <c r="BC91" s="111"/>
      <c r="BD91" s="111"/>
      <c r="BE91" s="111"/>
      <c r="BF91" s="111"/>
      <c r="BG91" s="111"/>
    </row>
    <row r="92" spans="1:59" ht="15" customHeight="1" x14ac:dyDescent="0.25">
      <c r="A92" s="110"/>
      <c r="B92" s="110"/>
      <c r="C92" s="110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11"/>
      <c r="BC92" s="111"/>
      <c r="BD92" s="111"/>
      <c r="BE92" s="111"/>
      <c r="BF92" s="111"/>
      <c r="BG92" s="111"/>
    </row>
    <row r="93" spans="1:59" ht="15" customHeight="1" x14ac:dyDescent="0.25">
      <c r="A93" s="110"/>
      <c r="B93" s="110"/>
      <c r="C93" s="110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11"/>
      <c r="BC93" s="111"/>
      <c r="BD93" s="111"/>
      <c r="BE93" s="111"/>
      <c r="BF93" s="111"/>
      <c r="BG93" s="111"/>
    </row>
    <row r="94" spans="1:59" ht="15" customHeight="1" x14ac:dyDescent="0.25">
      <c r="A94" s="110"/>
      <c r="B94" s="110"/>
      <c r="C94" s="110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11"/>
      <c r="BC94" s="111"/>
      <c r="BD94" s="111"/>
      <c r="BE94" s="111"/>
      <c r="BF94" s="111"/>
      <c r="BG94" s="111"/>
    </row>
    <row r="95" spans="1:59" ht="15" customHeight="1" x14ac:dyDescent="0.25">
      <c r="A95" s="110"/>
      <c r="B95" s="110"/>
      <c r="C95" s="110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11"/>
      <c r="BC95" s="111"/>
      <c r="BD95" s="111"/>
      <c r="BE95" s="111"/>
      <c r="BF95" s="111"/>
      <c r="BG95" s="111"/>
    </row>
    <row r="96" spans="1:59" ht="15" customHeight="1" x14ac:dyDescent="0.25">
      <c r="A96" s="110"/>
      <c r="B96" s="110"/>
      <c r="C96" s="110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11"/>
      <c r="BC96" s="111"/>
      <c r="BD96" s="111"/>
      <c r="BE96" s="111"/>
      <c r="BF96" s="111"/>
      <c r="BG96" s="111"/>
    </row>
    <row r="97" spans="1:59" ht="15" customHeight="1" x14ac:dyDescent="0.25">
      <c r="A97" s="110"/>
      <c r="B97" s="110"/>
      <c r="C97" s="110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11"/>
      <c r="BC97" s="111"/>
      <c r="BD97" s="111"/>
      <c r="BE97" s="111"/>
      <c r="BF97" s="111"/>
      <c r="BG97" s="111"/>
    </row>
    <row r="98" spans="1:59" ht="15" customHeight="1" x14ac:dyDescent="0.25">
      <c r="A98" s="110"/>
      <c r="B98" s="110"/>
      <c r="C98" s="110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11"/>
      <c r="BC98" s="111"/>
      <c r="BD98" s="111"/>
      <c r="BE98" s="111"/>
      <c r="BF98" s="111"/>
      <c r="BG98" s="111"/>
    </row>
    <row r="99" spans="1:59" ht="15" customHeight="1" x14ac:dyDescent="0.25">
      <c r="A99" s="110"/>
      <c r="B99" s="110"/>
      <c r="C99" s="110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11"/>
      <c r="BC99" s="111"/>
      <c r="BD99" s="111"/>
      <c r="BE99" s="111"/>
      <c r="BF99" s="111"/>
      <c r="BG99" s="111"/>
    </row>
    <row r="100" spans="1:59" ht="15" customHeight="1" x14ac:dyDescent="0.25">
      <c r="A100" s="110"/>
      <c r="B100" s="110"/>
      <c r="C100" s="110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11"/>
      <c r="BC100" s="111"/>
      <c r="BD100" s="111"/>
      <c r="BE100" s="111"/>
      <c r="BF100" s="111"/>
      <c r="BG100" s="111"/>
    </row>
    <row r="101" spans="1:59" ht="15" customHeight="1" x14ac:dyDescent="0.25">
      <c r="A101" s="110"/>
      <c r="B101" s="110"/>
      <c r="C101" s="110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11"/>
      <c r="BC101" s="111"/>
      <c r="BD101" s="111"/>
      <c r="BE101" s="111"/>
      <c r="BF101" s="111"/>
      <c r="BG101" s="111"/>
    </row>
    <row r="102" spans="1:59" ht="15" customHeight="1" x14ac:dyDescent="0.25">
      <c r="A102" s="110"/>
      <c r="B102" s="110"/>
      <c r="C102" s="110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11"/>
      <c r="BC102" s="111"/>
      <c r="BD102" s="111"/>
      <c r="BE102" s="111"/>
      <c r="BF102" s="111"/>
      <c r="BG102" s="111"/>
    </row>
    <row r="103" spans="1:59" ht="15" customHeight="1" x14ac:dyDescent="0.25">
      <c r="A103" s="110"/>
      <c r="B103" s="110"/>
      <c r="C103" s="110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11"/>
      <c r="BC103" s="111"/>
      <c r="BD103" s="111"/>
      <c r="BE103" s="111"/>
      <c r="BF103" s="111"/>
      <c r="BG103" s="111"/>
    </row>
    <row r="104" spans="1:59" ht="15" customHeight="1" x14ac:dyDescent="0.25">
      <c r="A104" s="110"/>
      <c r="B104" s="110"/>
      <c r="C104" s="110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11"/>
      <c r="BC104" s="111"/>
      <c r="BD104" s="111"/>
      <c r="BE104" s="111"/>
      <c r="BF104" s="111"/>
      <c r="BG104" s="111"/>
    </row>
    <row r="105" spans="1:59" ht="15" customHeight="1" x14ac:dyDescent="0.25">
      <c r="A105" s="110"/>
      <c r="B105" s="110"/>
      <c r="C105" s="110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11"/>
      <c r="BC105" s="111"/>
      <c r="BD105" s="111"/>
      <c r="BE105" s="111"/>
      <c r="BF105" s="111"/>
      <c r="BG105" s="111"/>
    </row>
    <row r="106" spans="1:59" ht="15" customHeight="1" x14ac:dyDescent="0.25">
      <c r="A106" s="110"/>
      <c r="B106" s="110"/>
      <c r="C106" s="110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11"/>
      <c r="BC106" s="111"/>
      <c r="BD106" s="111"/>
      <c r="BE106" s="111"/>
      <c r="BF106" s="111"/>
      <c r="BG106" s="111"/>
    </row>
    <row r="107" spans="1:59" ht="15" customHeight="1" x14ac:dyDescent="0.25">
      <c r="A107" s="110"/>
      <c r="B107" s="110"/>
      <c r="C107" s="110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11"/>
      <c r="BC107" s="111"/>
      <c r="BD107" s="111"/>
      <c r="BE107" s="111"/>
      <c r="BF107" s="111"/>
      <c r="BG107" s="111"/>
    </row>
    <row r="108" spans="1:59" ht="15" customHeight="1" x14ac:dyDescent="0.25">
      <c r="A108" s="110"/>
      <c r="B108" s="110"/>
      <c r="C108" s="110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11"/>
      <c r="BC108" s="111"/>
      <c r="BD108" s="111"/>
      <c r="BE108" s="111"/>
      <c r="BF108" s="111"/>
      <c r="BG108" s="111"/>
    </row>
    <row r="109" spans="1:59" ht="15" customHeight="1" x14ac:dyDescent="0.25">
      <c r="A109" s="110"/>
      <c r="B109" s="110"/>
      <c r="C109" s="110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11"/>
      <c r="BC109" s="111"/>
      <c r="BD109" s="111"/>
      <c r="BE109" s="111"/>
      <c r="BF109" s="111"/>
      <c r="BG109" s="111"/>
    </row>
    <row r="110" spans="1:59" ht="15.75" customHeight="1" x14ac:dyDescent="0.25">
      <c r="A110" s="110"/>
      <c r="B110" s="110"/>
      <c r="C110" s="110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11"/>
      <c r="BC110" s="111"/>
      <c r="BD110" s="111"/>
      <c r="BE110" s="111"/>
      <c r="BF110" s="111"/>
      <c r="BG110" s="111"/>
    </row>
    <row r="111" spans="1:59" ht="15.75" customHeight="1" x14ac:dyDescent="0.25">
      <c r="A111" s="110"/>
      <c r="B111" s="110"/>
      <c r="C111" s="110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11"/>
      <c r="BC111" s="111"/>
      <c r="BD111" s="111"/>
      <c r="BE111" s="111"/>
      <c r="BF111" s="111"/>
      <c r="BG111" s="111"/>
    </row>
    <row r="112" spans="1:59" ht="15" customHeight="1" x14ac:dyDescent="0.25">
      <c r="A112" s="110"/>
      <c r="B112" s="110"/>
      <c r="C112" s="110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11"/>
      <c r="BC112" s="111"/>
      <c r="BD112" s="111"/>
      <c r="BE112" s="111"/>
      <c r="BF112" s="111"/>
      <c r="BG112" s="111"/>
    </row>
    <row r="113" spans="1:59" ht="15" customHeight="1" x14ac:dyDescent="0.25">
      <c r="A113" s="110"/>
      <c r="B113" s="110"/>
      <c r="C113" s="110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11"/>
      <c r="BC113" s="111"/>
      <c r="BD113" s="111"/>
      <c r="BE113" s="111"/>
      <c r="BF113" s="111"/>
      <c r="BG113" s="111"/>
    </row>
    <row r="114" spans="1:59" ht="15" customHeight="1" x14ac:dyDescent="0.25">
      <c r="A114" s="110"/>
      <c r="B114" s="110"/>
      <c r="C114" s="110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11"/>
      <c r="BC114" s="111"/>
      <c r="BD114" s="111"/>
      <c r="BE114" s="111"/>
      <c r="BF114" s="111"/>
      <c r="BG114" s="111"/>
    </row>
    <row r="115" spans="1:59" ht="15" customHeight="1" x14ac:dyDescent="0.25">
      <c r="A115" s="110"/>
      <c r="B115" s="110"/>
      <c r="C115" s="110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11"/>
      <c r="BC115" s="111"/>
      <c r="BD115" s="111"/>
      <c r="BE115" s="111"/>
      <c r="BF115" s="111"/>
      <c r="BG115" s="111"/>
    </row>
    <row r="116" spans="1:59" ht="15" customHeight="1" x14ac:dyDescent="0.25">
      <c r="A116" s="110"/>
      <c r="B116" s="110"/>
      <c r="C116" s="110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11"/>
      <c r="BC116" s="111"/>
      <c r="BD116" s="111"/>
      <c r="BE116" s="111"/>
      <c r="BF116" s="111"/>
      <c r="BG116" s="111"/>
    </row>
    <row r="117" spans="1:59" ht="15" customHeight="1" x14ac:dyDescent="0.25">
      <c r="A117" s="110"/>
      <c r="B117" s="110"/>
      <c r="C117" s="110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11"/>
      <c r="BC117" s="111"/>
      <c r="BD117" s="111"/>
      <c r="BE117" s="111"/>
      <c r="BF117" s="111"/>
      <c r="BG117" s="111"/>
    </row>
    <row r="118" spans="1:59" ht="15.75" customHeight="1" x14ac:dyDescent="0.25">
      <c r="A118" s="110"/>
      <c r="B118" s="110"/>
      <c r="C118" s="110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11"/>
      <c r="BC118" s="111"/>
      <c r="BD118" s="111"/>
      <c r="BE118" s="111"/>
      <c r="BF118" s="111"/>
      <c r="BG118" s="111"/>
    </row>
    <row r="119" spans="1:59" ht="15.75" customHeight="1" x14ac:dyDescent="0.25">
      <c r="A119" s="110"/>
      <c r="B119" s="110"/>
      <c r="C119" s="110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11"/>
      <c r="BC119" s="111"/>
      <c r="BD119" s="111"/>
      <c r="BE119" s="111"/>
      <c r="BF119" s="111"/>
      <c r="BG119" s="111"/>
    </row>
    <row r="120" spans="1:59" ht="15" customHeight="1" x14ac:dyDescent="0.25">
      <c r="A120" s="110"/>
      <c r="B120" s="110"/>
      <c r="C120" s="110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11"/>
      <c r="BC120" s="111"/>
      <c r="BD120" s="111"/>
      <c r="BE120" s="111"/>
      <c r="BF120" s="111"/>
      <c r="BG120" s="111"/>
    </row>
    <row r="121" spans="1:59" ht="15" customHeight="1" x14ac:dyDescent="0.25">
      <c r="A121" s="110"/>
      <c r="B121" s="110"/>
      <c r="C121" s="110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</row>
    <row r="122" spans="1:59" ht="15" customHeight="1" x14ac:dyDescent="0.25">
      <c r="A122" s="110"/>
      <c r="B122" s="110"/>
      <c r="C122" s="110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</row>
    <row r="123" spans="1:59" ht="15" customHeight="1" x14ac:dyDescent="0.25">
      <c r="A123" s="110"/>
      <c r="B123" s="110"/>
      <c r="C123" s="110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</row>
    <row r="124" spans="1:59" ht="15" customHeight="1" x14ac:dyDescent="0.25">
      <c r="A124" s="110"/>
      <c r="B124" s="110"/>
      <c r="C124" s="110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</row>
    <row r="125" spans="1:59" ht="15" customHeight="1" x14ac:dyDescent="0.25"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</row>
    <row r="126" spans="1:59" ht="15" customHeight="1" x14ac:dyDescent="0.25"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</row>
    <row r="127" spans="1:59" ht="15" customHeight="1" x14ac:dyDescent="0.25"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</row>
    <row r="128" spans="1:59" ht="15" customHeight="1" x14ac:dyDescent="0.25"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</row>
    <row r="129" spans="2:53" ht="15" customHeight="1" x14ac:dyDescent="0.25"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</row>
    <row r="130" spans="2:53" ht="15" customHeight="1" x14ac:dyDescent="0.25"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</row>
    <row r="131" spans="2:53" ht="15" customHeight="1" x14ac:dyDescent="0.25"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</row>
    <row r="132" spans="2:53" ht="15" customHeight="1" x14ac:dyDescent="0.25"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</row>
    <row r="133" spans="2:53" ht="15" customHeight="1" x14ac:dyDescent="0.25"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</row>
  </sheetData>
  <mergeCells count="81">
    <mergeCell ref="AS24:AS25"/>
    <mergeCell ref="AR24:AR25"/>
    <mergeCell ref="AM24:AM25"/>
    <mergeCell ref="AN24:AN25"/>
    <mergeCell ref="AO24:AO25"/>
    <mergeCell ref="AP24:AP25"/>
    <mergeCell ref="AQ24:AQ25"/>
    <mergeCell ref="T7:U7"/>
    <mergeCell ref="V7:W7"/>
    <mergeCell ref="X7:Y7"/>
    <mergeCell ref="Z7:AA7"/>
    <mergeCell ref="AL24:AL25"/>
    <mergeCell ref="BR7:BR8"/>
    <mergeCell ref="BS7:BS8"/>
    <mergeCell ref="BT7:BT8"/>
    <mergeCell ref="BU7:BU8"/>
    <mergeCell ref="BV7:BV8"/>
    <mergeCell ref="BO7:BO8"/>
    <mergeCell ref="BP7:BP8"/>
    <mergeCell ref="BQ7:BQ8"/>
    <mergeCell ref="A7:A8"/>
    <mergeCell ref="B7:B8"/>
    <mergeCell ref="C7:C8"/>
    <mergeCell ref="D7:D8"/>
    <mergeCell ref="E7:E8"/>
    <mergeCell ref="F7:F8"/>
    <mergeCell ref="AW7:AW8"/>
    <mergeCell ref="AZ7:AZ8"/>
    <mergeCell ref="AL7:AL8"/>
    <mergeCell ref="AM7:AM8"/>
    <mergeCell ref="AN7:AN8"/>
    <mergeCell ref="AO7:AO8"/>
    <mergeCell ref="BI7:BI8"/>
    <mergeCell ref="BG7:BG8"/>
    <mergeCell ref="BH7:BH8"/>
    <mergeCell ref="BC7:BC8"/>
    <mergeCell ref="BD7:BD8"/>
    <mergeCell ref="BE7:BE8"/>
    <mergeCell ref="BF7:BF8"/>
    <mergeCell ref="BN7:BN8"/>
    <mergeCell ref="BJ7:BJ8"/>
    <mergeCell ref="BK7:BK8"/>
    <mergeCell ref="BL7:BL8"/>
    <mergeCell ref="BM7:BM8"/>
    <mergeCell ref="F24:F25"/>
    <mergeCell ref="G24:G25"/>
    <mergeCell ref="BA7:BA8"/>
    <mergeCell ref="BB7:BB8"/>
    <mergeCell ref="AR7:AR8"/>
    <mergeCell ref="AT7:AT8"/>
    <mergeCell ref="AU7:AU8"/>
    <mergeCell ref="AV7:AV8"/>
    <mergeCell ref="AP7:AP8"/>
    <mergeCell ref="AQ7:AQ8"/>
    <mergeCell ref="G7:G8"/>
    <mergeCell ref="H7:H8"/>
    <mergeCell ref="I7:I8"/>
    <mergeCell ref="N7:O7"/>
    <mergeCell ref="P7:Q7"/>
    <mergeCell ref="AJ7:AK7"/>
    <mergeCell ref="A24:A25"/>
    <mergeCell ref="B24:B25"/>
    <mergeCell ref="C24:C25"/>
    <mergeCell ref="D24:D25"/>
    <mergeCell ref="E24:E25"/>
    <mergeCell ref="AS7:AS8"/>
    <mergeCell ref="AX7:AX8"/>
    <mergeCell ref="AY7:AY8"/>
    <mergeCell ref="H24:H25"/>
    <mergeCell ref="I24:I25"/>
    <mergeCell ref="AF24:AG24"/>
    <mergeCell ref="AH24:AI24"/>
    <mergeCell ref="AJ24:AK24"/>
    <mergeCell ref="J7:K7"/>
    <mergeCell ref="L7:M7"/>
    <mergeCell ref="AD7:AE7"/>
    <mergeCell ref="AF7:AG7"/>
    <mergeCell ref="AH7:AI7"/>
    <mergeCell ref="AB7:AC7"/>
    <mergeCell ref="AD24:AE24"/>
    <mergeCell ref="R7:S7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opLeftCell="J1" workbookViewId="0">
      <selection activeCell="B1" sqref="B1:N1048576"/>
    </sheetView>
  </sheetViews>
  <sheetFormatPr defaultRowHeight="15" x14ac:dyDescent="0.25"/>
  <cols>
    <col min="1" max="1" width="6.42578125" customWidth="1"/>
    <col min="2" max="2" width="28.5703125" customWidth="1"/>
    <col min="3" max="3" width="7.85546875" customWidth="1"/>
    <col min="4" max="4" width="7.5703125" customWidth="1"/>
    <col min="5" max="5" width="8" customWidth="1"/>
    <col min="6" max="6" width="8.42578125" customWidth="1"/>
    <col min="7" max="7" width="10.42578125" customWidth="1"/>
    <col min="8" max="8" width="11" customWidth="1"/>
    <col min="9" max="9" width="11.5703125" customWidth="1"/>
    <col min="10" max="10" width="11.140625" customWidth="1"/>
    <col min="11" max="11" width="13.28515625" customWidth="1"/>
    <col min="12" max="12" width="11.28515625" customWidth="1"/>
    <col min="13" max="13" width="10.42578125" customWidth="1"/>
    <col min="14" max="14" width="11.140625" customWidth="1"/>
    <col min="15" max="15" width="11.42578125" hidden="1" customWidth="1"/>
    <col min="16" max="16" width="10.140625" hidden="1" customWidth="1"/>
    <col min="17" max="17" width="11.42578125" hidden="1" customWidth="1"/>
    <col min="18" max="21" width="9.140625" hidden="1" customWidth="1"/>
    <col min="22" max="22" width="10" hidden="1" customWidth="1"/>
    <col min="23" max="24" width="9.140625" hidden="1" customWidth="1"/>
    <col min="25" max="25" width="10.140625" hidden="1" customWidth="1"/>
    <col min="26" max="26" width="10" hidden="1" customWidth="1"/>
    <col min="27" max="27" width="10.28515625" customWidth="1"/>
    <col min="29" max="29" width="9.140625" customWidth="1"/>
    <col min="31" max="32" width="10.140625" customWidth="1"/>
  </cols>
  <sheetData>
    <row r="1" spans="1:35" ht="1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5" x14ac:dyDescent="0.25">
      <c r="A2" s="14"/>
      <c r="B2" s="173" t="s">
        <v>347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5" ht="15" customHeight="1" x14ac:dyDescent="0.25">
      <c r="A3" s="14"/>
      <c r="B3" s="17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5" x14ac:dyDescent="0.25">
      <c r="A4" s="14"/>
      <c r="B4" s="17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5" ht="15" customHeight="1" x14ac:dyDescent="0.25">
      <c r="A5" s="14"/>
      <c r="B5" s="17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5" x14ac:dyDescent="0.25">
      <c r="A6" s="14"/>
      <c r="B6" s="17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07"/>
      <c r="AC6" s="107"/>
      <c r="AD6" s="107"/>
      <c r="AE6" s="107"/>
      <c r="AF6" s="107"/>
      <c r="AG6" s="107"/>
      <c r="AH6" s="107"/>
      <c r="AI6" s="107"/>
    </row>
    <row r="7" spans="1:35" ht="15" customHeight="1" x14ac:dyDescent="0.25">
      <c r="A7" s="14"/>
      <c r="B7" s="17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07"/>
      <c r="AC7" s="107"/>
      <c r="AD7" s="107"/>
      <c r="AE7" s="107"/>
      <c r="AF7" s="107"/>
      <c r="AG7" s="107"/>
      <c r="AH7" s="107"/>
      <c r="AI7" s="107"/>
    </row>
    <row r="8" spans="1:35" ht="39" customHeight="1" x14ac:dyDescent="0.25">
      <c r="A8" s="915" t="s">
        <v>0</v>
      </c>
      <c r="B8" s="915" t="s">
        <v>130</v>
      </c>
      <c r="C8" s="915" t="s">
        <v>43</v>
      </c>
      <c r="D8" s="915" t="s">
        <v>44</v>
      </c>
      <c r="E8" s="915" t="s">
        <v>45</v>
      </c>
      <c r="F8" s="915" t="s">
        <v>46</v>
      </c>
      <c r="G8" s="915" t="s">
        <v>1</v>
      </c>
      <c r="H8" s="1006" t="s">
        <v>215</v>
      </c>
      <c r="I8" s="1007"/>
      <c r="J8" s="890" t="s">
        <v>186</v>
      </c>
      <c r="K8" s="891"/>
      <c r="L8" s="867" t="s">
        <v>216</v>
      </c>
      <c r="M8" s="867"/>
      <c r="N8" s="931" t="s">
        <v>204</v>
      </c>
      <c r="O8" s="862" t="s">
        <v>250</v>
      </c>
      <c r="P8" s="877" t="s">
        <v>251</v>
      </c>
      <c r="Q8" s="862" t="s">
        <v>224</v>
      </c>
      <c r="R8" s="862" t="s">
        <v>3</v>
      </c>
      <c r="S8" s="862" t="s">
        <v>249</v>
      </c>
      <c r="T8" s="881" t="s">
        <v>189</v>
      </c>
      <c r="U8" s="877" t="s">
        <v>203</v>
      </c>
      <c r="V8" s="860" t="s">
        <v>367</v>
      </c>
      <c r="W8" s="888"/>
      <c r="X8" s="888"/>
      <c r="Y8" s="1020" t="s">
        <v>129</v>
      </c>
      <c r="Z8" s="1022" t="s">
        <v>211</v>
      </c>
      <c r="AA8" s="1016" t="s">
        <v>212</v>
      </c>
      <c r="AB8" s="107"/>
      <c r="AC8" s="107"/>
      <c r="AD8" s="107"/>
      <c r="AE8" s="107"/>
      <c r="AF8" s="107"/>
      <c r="AG8" s="107"/>
      <c r="AH8" s="107"/>
      <c r="AI8" s="107"/>
    </row>
    <row r="9" spans="1:35" ht="60.75" customHeight="1" x14ac:dyDescent="0.25">
      <c r="A9" s="915"/>
      <c r="B9" s="915"/>
      <c r="C9" s="915"/>
      <c r="D9" s="915"/>
      <c r="E9" s="915"/>
      <c r="F9" s="915"/>
      <c r="G9" s="915"/>
      <c r="H9" s="82" t="s">
        <v>4</v>
      </c>
      <c r="I9" s="384" t="s">
        <v>5</v>
      </c>
      <c r="J9" s="41" t="s">
        <v>4</v>
      </c>
      <c r="K9" s="187" t="s">
        <v>5</v>
      </c>
      <c r="L9" s="542" t="s">
        <v>4</v>
      </c>
      <c r="M9" s="543" t="s">
        <v>5</v>
      </c>
      <c r="N9" s="932"/>
      <c r="O9" s="863"/>
      <c r="P9" s="878"/>
      <c r="Q9" s="863"/>
      <c r="R9" s="863"/>
      <c r="S9" s="863"/>
      <c r="T9" s="881"/>
      <c r="U9" s="864"/>
      <c r="V9" s="861"/>
      <c r="W9" s="889"/>
      <c r="X9" s="889"/>
      <c r="Y9" s="1021"/>
      <c r="Z9" s="1023"/>
      <c r="AA9" s="1017"/>
      <c r="AB9" s="107"/>
      <c r="AC9" s="107"/>
      <c r="AD9" s="107"/>
      <c r="AE9" s="107"/>
      <c r="AF9" s="107"/>
      <c r="AG9" s="107"/>
      <c r="AH9" s="107"/>
      <c r="AI9" s="107"/>
    </row>
    <row r="10" spans="1:35" x14ac:dyDescent="0.25">
      <c r="A10" s="13">
        <v>2</v>
      </c>
      <c r="B10" s="35" t="s">
        <v>157</v>
      </c>
      <c r="C10" s="273">
        <v>1964</v>
      </c>
      <c r="D10" s="273">
        <v>2</v>
      </c>
      <c r="E10" s="273">
        <v>12</v>
      </c>
      <c r="F10" s="273">
        <v>35</v>
      </c>
      <c r="G10" s="274">
        <v>503.3</v>
      </c>
      <c r="H10" s="274">
        <v>906.3</v>
      </c>
      <c r="I10" s="274">
        <v>421.5</v>
      </c>
      <c r="J10" s="224">
        <v>10810.88</v>
      </c>
      <c r="K10" s="224">
        <v>6472.21</v>
      </c>
      <c r="L10" s="760">
        <f>H10+J10</f>
        <v>11717.179999999998</v>
      </c>
      <c r="M10" s="760">
        <f>I10+K10</f>
        <v>6893.71</v>
      </c>
      <c r="N10" s="758">
        <f t="shared" ref="N10:N15" si="0">O10+P10+Q10+R10+S10+T10+U10</f>
        <v>36657.32</v>
      </c>
      <c r="O10" s="390">
        <v>721.98</v>
      </c>
      <c r="P10" s="236">
        <v>301.14999999999998</v>
      </c>
      <c r="Q10" s="236">
        <v>330.24</v>
      </c>
      <c r="R10" s="236">
        <v>20071.32</v>
      </c>
      <c r="S10" s="236">
        <v>3196.52</v>
      </c>
      <c r="T10" s="236">
        <v>10844.84</v>
      </c>
      <c r="U10" s="396">
        <v>1191.27</v>
      </c>
      <c r="V10" s="674">
        <f>L10-N10</f>
        <v>-24940.14</v>
      </c>
      <c r="W10" s="390"/>
      <c r="X10" s="382"/>
      <c r="Y10" s="382"/>
      <c r="Z10" s="382"/>
      <c r="AA10" s="390"/>
      <c r="AB10" s="107"/>
      <c r="AC10" s="107"/>
      <c r="AD10" s="107"/>
      <c r="AE10" s="107"/>
      <c r="AF10" s="107"/>
      <c r="AG10" s="107"/>
      <c r="AH10" s="107"/>
      <c r="AI10" s="107"/>
    </row>
    <row r="11" spans="1:35" ht="15" customHeight="1" x14ac:dyDescent="0.25">
      <c r="A11" s="13">
        <v>3</v>
      </c>
      <c r="B11" s="35" t="s">
        <v>158</v>
      </c>
      <c r="C11" s="273">
        <v>1967</v>
      </c>
      <c r="D11" s="273">
        <v>2</v>
      </c>
      <c r="E11" s="273">
        <v>12</v>
      </c>
      <c r="F11" s="273">
        <v>29</v>
      </c>
      <c r="G11" s="274">
        <v>501.4</v>
      </c>
      <c r="H11" s="274">
        <v>897</v>
      </c>
      <c r="I11" s="274">
        <v>517.07000000000005</v>
      </c>
      <c r="J11" s="224">
        <v>10770.16</v>
      </c>
      <c r="K11" s="224">
        <v>8710.35</v>
      </c>
      <c r="L11" s="760">
        <f>H11+J11</f>
        <v>11667.16</v>
      </c>
      <c r="M11" s="760">
        <f>I11+K11</f>
        <v>9227.42</v>
      </c>
      <c r="N11" s="758">
        <f t="shared" si="0"/>
        <v>37075.880000000005</v>
      </c>
      <c r="O11" s="390">
        <v>721.98</v>
      </c>
      <c r="P11" s="236">
        <v>854.25</v>
      </c>
      <c r="Q11" s="236">
        <v>329</v>
      </c>
      <c r="R11" s="236">
        <v>19995.55</v>
      </c>
      <c r="S11" s="236">
        <v>3184.5</v>
      </c>
      <c r="T11" s="236">
        <v>10803.87</v>
      </c>
      <c r="U11" s="396">
        <v>1186.73</v>
      </c>
      <c r="V11" s="674">
        <f>L11-N11</f>
        <v>-25408.720000000005</v>
      </c>
      <c r="W11" s="390"/>
      <c r="X11" s="382"/>
      <c r="Y11" s="382"/>
      <c r="Z11" s="382"/>
      <c r="AA11" s="390"/>
      <c r="AB11" s="107"/>
      <c r="AC11" s="107"/>
      <c r="AD11" s="107"/>
      <c r="AE11" s="107"/>
      <c r="AF11" s="107"/>
      <c r="AG11" s="107"/>
      <c r="AH11" s="107"/>
      <c r="AI11" s="107"/>
    </row>
    <row r="12" spans="1:35" x14ac:dyDescent="0.25">
      <c r="A12" s="13"/>
      <c r="B12" s="405" t="s">
        <v>185</v>
      </c>
      <c r="C12" s="343"/>
      <c r="D12" s="343"/>
      <c r="E12" s="469">
        <f t="shared" ref="E12:M12" si="1">SUM(E10:E11)</f>
        <v>24</v>
      </c>
      <c r="F12" s="469">
        <f t="shared" si="1"/>
        <v>64</v>
      </c>
      <c r="G12" s="466">
        <f t="shared" si="1"/>
        <v>1004.7</v>
      </c>
      <c r="H12" s="466">
        <f t="shared" si="1"/>
        <v>1803.3</v>
      </c>
      <c r="I12" s="466">
        <f t="shared" si="1"/>
        <v>938.57</v>
      </c>
      <c r="J12" s="648">
        <f t="shared" si="1"/>
        <v>21581.040000000001</v>
      </c>
      <c r="K12" s="648">
        <f t="shared" si="1"/>
        <v>15182.560000000001</v>
      </c>
      <c r="L12" s="761">
        <f t="shared" si="1"/>
        <v>23384.339999999997</v>
      </c>
      <c r="M12" s="761">
        <f t="shared" si="1"/>
        <v>16121.130000000001</v>
      </c>
      <c r="N12" s="772">
        <f t="shared" si="0"/>
        <v>73733.199999999983</v>
      </c>
      <c r="O12" s="646">
        <f>SUM(O10:O11)</f>
        <v>1443.96</v>
      </c>
      <c r="P12" s="646">
        <f>SUM(P10:P11)</f>
        <v>1155.4000000000001</v>
      </c>
      <c r="Q12" s="646">
        <f>SUM(Q10:Q11)</f>
        <v>659.24</v>
      </c>
      <c r="R12" s="646">
        <f t="shared" ref="R12:AA12" si="2">SUM(R10:R11)</f>
        <v>40066.869999999995</v>
      </c>
      <c r="S12" s="646">
        <f t="shared" si="2"/>
        <v>6381.02</v>
      </c>
      <c r="T12" s="646">
        <f t="shared" si="2"/>
        <v>21648.71</v>
      </c>
      <c r="U12" s="646">
        <f t="shared" si="2"/>
        <v>2378</v>
      </c>
      <c r="V12" s="646">
        <f t="shared" si="2"/>
        <v>-50348.86</v>
      </c>
      <c r="W12" s="409"/>
      <c r="X12" s="409">
        <f t="shared" si="2"/>
        <v>0</v>
      </c>
      <c r="Y12" s="409">
        <f t="shared" si="2"/>
        <v>0</v>
      </c>
      <c r="Z12" s="409">
        <f t="shared" si="2"/>
        <v>0</v>
      </c>
      <c r="AA12" s="409">
        <f t="shared" si="2"/>
        <v>0</v>
      </c>
      <c r="AB12" s="107"/>
      <c r="AC12" s="107"/>
      <c r="AD12" s="107"/>
      <c r="AE12" s="107"/>
      <c r="AF12" s="107"/>
      <c r="AG12" s="107"/>
      <c r="AH12" s="107"/>
      <c r="AI12" s="107"/>
    </row>
    <row r="13" spans="1:35" ht="15" customHeight="1" x14ac:dyDescent="0.25">
      <c r="A13" s="29">
        <v>4</v>
      </c>
      <c r="B13" s="99" t="s">
        <v>209</v>
      </c>
      <c r="C13" s="406">
        <v>1960</v>
      </c>
      <c r="D13" s="406">
        <v>1</v>
      </c>
      <c r="E13" s="406">
        <v>4</v>
      </c>
      <c r="F13" s="406">
        <v>2</v>
      </c>
      <c r="G13" s="274">
        <v>66.3</v>
      </c>
      <c r="H13" s="274"/>
      <c r="I13" s="274"/>
      <c r="J13" s="324">
        <v>1336.64</v>
      </c>
      <c r="K13" s="324">
        <v>0</v>
      </c>
      <c r="L13" s="760">
        <f>H13+J13</f>
        <v>1336.64</v>
      </c>
      <c r="M13" s="760">
        <f>I13+K13</f>
        <v>0</v>
      </c>
      <c r="N13" s="772">
        <f t="shared" si="0"/>
        <v>401.37000000000006</v>
      </c>
      <c r="O13" s="410"/>
      <c r="P13" s="410"/>
      <c r="Q13" s="410">
        <v>23.98</v>
      </c>
      <c r="R13" s="410"/>
      <c r="S13" s="410"/>
      <c r="T13" s="410">
        <v>349.48</v>
      </c>
      <c r="U13" s="410">
        <v>27.91</v>
      </c>
      <c r="V13" s="675"/>
      <c r="W13" s="412"/>
      <c r="X13" s="411"/>
      <c r="Y13" s="411"/>
      <c r="Z13" s="411"/>
      <c r="AA13" s="412"/>
      <c r="AB13" s="107"/>
      <c r="AC13" s="107"/>
      <c r="AD13" s="107"/>
      <c r="AE13" s="107"/>
      <c r="AF13" s="107"/>
      <c r="AG13" s="107"/>
      <c r="AH13" s="107"/>
      <c r="AI13" s="107"/>
    </row>
    <row r="14" spans="1:35" x14ac:dyDescent="0.25">
      <c r="A14" s="97">
        <v>5</v>
      </c>
      <c r="B14" s="99" t="s">
        <v>159</v>
      </c>
      <c r="C14" s="407"/>
      <c r="D14" s="408">
        <v>1</v>
      </c>
      <c r="E14" s="408">
        <v>1</v>
      </c>
      <c r="F14" s="408">
        <v>4</v>
      </c>
      <c r="G14" s="393">
        <v>48.3</v>
      </c>
      <c r="H14" s="393"/>
      <c r="I14" s="413"/>
      <c r="J14" s="414">
        <v>973.72</v>
      </c>
      <c r="K14" s="414">
        <v>0</v>
      </c>
      <c r="L14" s="762">
        <f>H14+J14</f>
        <v>973.72</v>
      </c>
      <c r="M14" s="762">
        <f>I14+K14</f>
        <v>0</v>
      </c>
      <c r="N14" s="772">
        <f t="shared" si="0"/>
        <v>832.41</v>
      </c>
      <c r="O14" s="415"/>
      <c r="P14" s="416"/>
      <c r="Q14" s="510">
        <v>31.7</v>
      </c>
      <c r="R14" s="415"/>
      <c r="S14" s="417">
        <v>295.33999999999997</v>
      </c>
      <c r="T14" s="417">
        <v>450.15</v>
      </c>
      <c r="U14" s="417">
        <v>55.22</v>
      </c>
      <c r="V14" s="675"/>
      <c r="W14" s="511"/>
      <c r="X14" s="418"/>
      <c r="Y14" s="418"/>
      <c r="Z14" s="418"/>
      <c r="AA14" s="511"/>
      <c r="AB14" s="107"/>
      <c r="AC14" s="107"/>
      <c r="AD14" s="107"/>
      <c r="AE14" s="107"/>
      <c r="AF14" s="107"/>
      <c r="AG14" s="107"/>
      <c r="AH14" s="107"/>
      <c r="AI14" s="107"/>
    </row>
    <row r="15" spans="1:35" ht="16.5" customHeight="1" x14ac:dyDescent="0.25">
      <c r="A15" s="514"/>
      <c r="B15" s="515" t="s">
        <v>219</v>
      </c>
      <c r="C15" s="470"/>
      <c r="D15" s="470"/>
      <c r="E15" s="516">
        <f>SUM(E13:E14)</f>
        <v>5</v>
      </c>
      <c r="F15" s="470">
        <f>SUM(F13:F14)</f>
        <v>6</v>
      </c>
      <c r="G15" s="655">
        <f>SUM(G13:G14)</f>
        <v>114.6</v>
      </c>
      <c r="H15" s="655"/>
      <c r="I15" s="655"/>
      <c r="J15" s="601">
        <f>SUM(J13:J14)</f>
        <v>2310.36</v>
      </c>
      <c r="K15" s="601">
        <f>SUM(K13:K14)</f>
        <v>0</v>
      </c>
      <c r="L15" s="763">
        <f>SUM(L13:L14)</f>
        <v>2310.36</v>
      </c>
      <c r="M15" s="763">
        <f>SUM(M13:M14)</f>
        <v>0</v>
      </c>
      <c r="N15" s="772">
        <f t="shared" si="0"/>
        <v>1233.7800000000002</v>
      </c>
      <c r="O15" s="296"/>
      <c r="P15" s="296"/>
      <c r="Q15" s="656">
        <f>SUM(Q13:Q14)</f>
        <v>55.68</v>
      </c>
      <c r="R15" s="656">
        <f t="shared" ref="R15:AA15" si="3">SUM(R13:R14)</f>
        <v>0</v>
      </c>
      <c r="S15" s="656">
        <f t="shared" si="3"/>
        <v>295.33999999999997</v>
      </c>
      <c r="T15" s="656">
        <f t="shared" si="3"/>
        <v>799.63</v>
      </c>
      <c r="U15" s="656">
        <f t="shared" si="3"/>
        <v>83.13</v>
      </c>
      <c r="V15" s="675">
        <f>L15-N15</f>
        <v>1076.58</v>
      </c>
      <c r="W15" s="656">
        <f t="shared" si="3"/>
        <v>0</v>
      </c>
      <c r="X15" s="656">
        <f t="shared" si="3"/>
        <v>0</v>
      </c>
      <c r="Y15" s="656">
        <f t="shared" si="3"/>
        <v>0</v>
      </c>
      <c r="Z15" s="656">
        <f t="shared" si="3"/>
        <v>0</v>
      </c>
      <c r="AA15" s="656">
        <f t="shared" si="3"/>
        <v>0</v>
      </c>
      <c r="AB15" s="107"/>
      <c r="AC15" s="107"/>
      <c r="AD15" s="107"/>
      <c r="AE15" s="107"/>
      <c r="AF15" s="107"/>
      <c r="AG15" s="107"/>
      <c r="AH15" s="107"/>
      <c r="AI15" s="107"/>
    </row>
    <row r="16" spans="1:35" ht="15.75" x14ac:dyDescent="0.25">
      <c r="A16" s="64"/>
      <c r="B16" s="512" t="s">
        <v>220</v>
      </c>
      <c r="C16" s="513"/>
      <c r="D16" s="513"/>
      <c r="E16" s="513">
        <f t="shared" ref="E16:AA16" si="4">E12+E15</f>
        <v>29</v>
      </c>
      <c r="F16" s="513">
        <f t="shared" si="4"/>
        <v>70</v>
      </c>
      <c r="G16" s="513">
        <f t="shared" si="4"/>
        <v>1119.3</v>
      </c>
      <c r="H16" s="513">
        <f t="shared" si="4"/>
        <v>1803.3</v>
      </c>
      <c r="I16" s="513">
        <f t="shared" si="4"/>
        <v>938.57</v>
      </c>
      <c r="J16" s="513">
        <f t="shared" si="4"/>
        <v>23891.4</v>
      </c>
      <c r="K16" s="513">
        <f t="shared" si="4"/>
        <v>15182.560000000001</v>
      </c>
      <c r="L16" s="764">
        <f t="shared" si="4"/>
        <v>25694.699999999997</v>
      </c>
      <c r="M16" s="764">
        <f t="shared" si="4"/>
        <v>16121.130000000001</v>
      </c>
      <c r="N16" s="773">
        <f t="shared" si="4"/>
        <v>74966.979999999981</v>
      </c>
      <c r="O16" s="513">
        <f t="shared" si="4"/>
        <v>1443.96</v>
      </c>
      <c r="P16" s="513">
        <f t="shared" si="4"/>
        <v>1155.4000000000001</v>
      </c>
      <c r="Q16" s="513">
        <f t="shared" si="4"/>
        <v>714.92</v>
      </c>
      <c r="R16" s="513">
        <f t="shared" si="4"/>
        <v>40066.869999999995</v>
      </c>
      <c r="S16" s="513">
        <f t="shared" si="4"/>
        <v>6676.3600000000006</v>
      </c>
      <c r="T16" s="513">
        <f t="shared" si="4"/>
        <v>22448.34</v>
      </c>
      <c r="U16" s="513">
        <f t="shared" si="4"/>
        <v>2461.13</v>
      </c>
      <c r="V16" s="513">
        <f t="shared" si="4"/>
        <v>-49272.28</v>
      </c>
      <c r="W16" s="513">
        <f t="shared" si="4"/>
        <v>0</v>
      </c>
      <c r="X16" s="513">
        <f t="shared" si="4"/>
        <v>0</v>
      </c>
      <c r="Y16" s="513">
        <f t="shared" si="4"/>
        <v>0</v>
      </c>
      <c r="Z16" s="513">
        <f t="shared" si="4"/>
        <v>0</v>
      </c>
      <c r="AA16" s="513">
        <f t="shared" si="4"/>
        <v>0</v>
      </c>
      <c r="AB16" s="107"/>
      <c r="AC16" s="107"/>
      <c r="AD16" s="107"/>
      <c r="AE16" s="107"/>
      <c r="AF16" s="107"/>
      <c r="AG16" s="107"/>
      <c r="AH16" s="107"/>
      <c r="AI16" s="107"/>
    </row>
    <row r="17" spans="1:35" ht="18" customHeight="1" x14ac:dyDescent="0.25">
      <c r="A17" s="62"/>
      <c r="B17" s="67"/>
      <c r="C17" s="67"/>
      <c r="D17" s="67"/>
      <c r="E17" s="67"/>
      <c r="F17" s="67"/>
      <c r="G17" s="104"/>
      <c r="H17" s="104"/>
      <c r="I17" s="104"/>
      <c r="J17" s="63"/>
      <c r="K17" s="63"/>
      <c r="L17" s="765"/>
      <c r="M17" s="765"/>
      <c r="N17" s="774"/>
      <c r="O17" s="38"/>
      <c r="P17" s="38"/>
      <c r="Q17" s="14"/>
      <c r="R17" s="38"/>
      <c r="S17" s="14"/>
      <c r="T17" s="14"/>
      <c r="U17" s="14"/>
      <c r="V17" s="14"/>
      <c r="W17" s="38"/>
      <c r="X17" s="38"/>
      <c r="Y17" s="38"/>
      <c r="Z17" s="38"/>
      <c r="AA17" s="14"/>
      <c r="AB17" s="107"/>
      <c r="AC17" s="107"/>
      <c r="AD17" s="107"/>
      <c r="AE17" s="107"/>
      <c r="AF17" s="107"/>
      <c r="AG17" s="107"/>
      <c r="AH17" s="107"/>
      <c r="AI17" s="107"/>
    </row>
    <row r="18" spans="1:35" x14ac:dyDescent="0.25">
      <c r="L18" s="766"/>
      <c r="M18" s="766"/>
      <c r="N18" s="775"/>
      <c r="AB18" s="107"/>
      <c r="AC18" s="107"/>
      <c r="AD18" s="107"/>
      <c r="AE18" s="107"/>
      <c r="AF18" s="107"/>
      <c r="AG18" s="107"/>
      <c r="AH18" s="107"/>
      <c r="AI18" s="107"/>
    </row>
    <row r="19" spans="1:35" ht="15" customHeight="1" x14ac:dyDescent="0.25">
      <c r="B19" s="143" t="s">
        <v>218</v>
      </c>
      <c r="L19" s="766"/>
      <c r="M19" s="766"/>
      <c r="N19" s="775"/>
      <c r="AB19" s="107"/>
      <c r="AC19" s="107"/>
      <c r="AD19" s="107"/>
      <c r="AE19" s="107"/>
      <c r="AF19" s="107"/>
      <c r="AG19" s="107"/>
      <c r="AH19" s="107"/>
      <c r="AI19" s="107"/>
    </row>
    <row r="20" spans="1:35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767"/>
      <c r="M20" s="767"/>
      <c r="N20" s="776"/>
      <c r="O20" s="111"/>
      <c r="P20" s="111"/>
      <c r="Q20" s="111"/>
      <c r="R20" s="111"/>
      <c r="S20" s="111"/>
      <c r="T20" s="111"/>
      <c r="U20" s="111"/>
      <c r="V20" s="111"/>
      <c r="W20" s="111"/>
      <c r="AB20" s="107"/>
      <c r="AC20" s="107"/>
      <c r="AD20" s="107"/>
      <c r="AE20" s="107"/>
      <c r="AF20" s="107"/>
      <c r="AG20" s="107"/>
      <c r="AH20" s="107"/>
      <c r="AI20" s="107"/>
    </row>
    <row r="21" spans="1:35" ht="15" customHeight="1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767"/>
      <c r="M21" s="767"/>
      <c r="N21" s="776"/>
      <c r="O21" s="111"/>
      <c r="P21" s="111"/>
      <c r="Q21" s="111"/>
      <c r="R21" s="111"/>
      <c r="S21" s="111"/>
      <c r="T21" s="111"/>
      <c r="U21" s="111"/>
      <c r="V21" s="111"/>
      <c r="W21" s="111"/>
      <c r="AB21" s="107"/>
      <c r="AC21" s="107"/>
      <c r="AD21" s="107"/>
      <c r="AE21" s="107"/>
      <c r="AF21" s="107"/>
      <c r="AG21" s="107"/>
      <c r="AH21" s="107"/>
      <c r="AI21" s="107"/>
    </row>
    <row r="22" spans="1:35" ht="15" customHeight="1" x14ac:dyDescent="0.25">
      <c r="A22" s="915" t="s">
        <v>0</v>
      </c>
      <c r="B22" s="915" t="s">
        <v>130</v>
      </c>
      <c r="C22" s="915" t="s">
        <v>43</v>
      </c>
      <c r="D22" s="915" t="s">
        <v>44</v>
      </c>
      <c r="E22" s="915" t="s">
        <v>45</v>
      </c>
      <c r="F22" s="915" t="s">
        <v>46</v>
      </c>
      <c r="G22" s="915" t="s">
        <v>1</v>
      </c>
      <c r="H22" s="1010"/>
      <c r="I22" s="645"/>
      <c r="J22" s="997"/>
      <c r="K22" s="998"/>
      <c r="L22" s="1012" t="s">
        <v>179</v>
      </c>
      <c r="M22" s="1013"/>
      <c r="N22" s="931" t="s">
        <v>204</v>
      </c>
      <c r="O22" s="877" t="s">
        <v>200</v>
      </c>
      <c r="P22" s="888" t="s">
        <v>348</v>
      </c>
      <c r="Q22" s="1008" t="s">
        <v>367</v>
      </c>
      <c r="R22" s="875"/>
      <c r="S22" s="875"/>
      <c r="T22" s="875"/>
      <c r="U22" s="875"/>
      <c r="V22" s="1009"/>
      <c r="W22" s="1018"/>
      <c r="X22" s="928"/>
      <c r="Y22" s="985"/>
      <c r="Z22" s="888" t="s">
        <v>199</v>
      </c>
      <c r="AA22" s="888" t="s">
        <v>126</v>
      </c>
      <c r="AB22" s="107"/>
      <c r="AC22" s="107"/>
      <c r="AD22" s="107"/>
      <c r="AE22" s="107"/>
      <c r="AF22" s="107"/>
      <c r="AG22" s="107"/>
      <c r="AH22" s="107"/>
      <c r="AI22" s="107"/>
    </row>
    <row r="23" spans="1:35" ht="60.75" customHeight="1" x14ac:dyDescent="0.25">
      <c r="A23" s="915"/>
      <c r="B23" s="915"/>
      <c r="C23" s="915"/>
      <c r="D23" s="915"/>
      <c r="E23" s="915"/>
      <c r="F23" s="915"/>
      <c r="G23" s="915"/>
      <c r="H23" s="1011"/>
      <c r="I23" s="387"/>
      <c r="J23" s="1014"/>
      <c r="K23" s="1015"/>
      <c r="L23" s="768" t="s">
        <v>4</v>
      </c>
      <c r="M23" s="769" t="s">
        <v>5</v>
      </c>
      <c r="N23" s="932"/>
      <c r="O23" s="878"/>
      <c r="P23" s="889"/>
      <c r="Q23" s="1008"/>
      <c r="R23" s="965"/>
      <c r="S23" s="876"/>
      <c r="T23" s="876"/>
      <c r="U23" s="876"/>
      <c r="V23" s="876"/>
      <c r="W23" s="1018"/>
      <c r="X23" s="928"/>
      <c r="Y23" s="1019"/>
      <c r="Z23" s="965"/>
      <c r="AA23" s="889"/>
      <c r="AB23" s="107"/>
      <c r="AC23" s="107"/>
      <c r="AD23" s="107"/>
      <c r="AE23" s="107"/>
      <c r="AF23" s="107"/>
      <c r="AG23" s="107"/>
      <c r="AH23" s="107"/>
      <c r="AI23" s="107"/>
    </row>
    <row r="24" spans="1:35" x14ac:dyDescent="0.25">
      <c r="A24" s="13">
        <v>2</v>
      </c>
      <c r="B24" s="35" t="s">
        <v>157</v>
      </c>
      <c r="C24" s="13">
        <v>1964</v>
      </c>
      <c r="D24" s="13">
        <v>2</v>
      </c>
      <c r="E24" s="13">
        <v>12</v>
      </c>
      <c r="F24" s="13">
        <v>35</v>
      </c>
      <c r="G24" s="30">
        <v>503.3</v>
      </c>
      <c r="H24" s="397"/>
      <c r="I24" s="397"/>
      <c r="J24" s="383"/>
      <c r="K24" s="383"/>
      <c r="L24" s="770">
        <v>18118.8</v>
      </c>
      <c r="M24" s="770">
        <v>14465.25</v>
      </c>
      <c r="N24" s="777">
        <f>O24+P24</f>
        <v>0</v>
      </c>
      <c r="O24" s="22"/>
      <c r="P24" s="22"/>
      <c r="Q24" s="672">
        <f>L24-N24</f>
        <v>18118.8</v>
      </c>
      <c r="R24" s="22"/>
      <c r="S24" s="22"/>
      <c r="T24" s="22"/>
      <c r="U24" s="172"/>
      <c r="V24" s="172"/>
      <c r="W24" s="166"/>
      <c r="X24" s="166"/>
      <c r="Y24" s="166"/>
      <c r="Z24" s="166"/>
      <c r="AA24" s="196">
        <f>J24-N24</f>
        <v>0</v>
      </c>
      <c r="AB24" s="107"/>
      <c r="AC24" s="107"/>
      <c r="AD24" s="107"/>
      <c r="AE24" s="107"/>
      <c r="AF24" s="107"/>
      <c r="AG24" s="107"/>
      <c r="AH24" s="107"/>
      <c r="AI24" s="107"/>
    </row>
    <row r="25" spans="1:35" ht="15.75" customHeight="1" thickBot="1" x14ac:dyDescent="0.3">
      <c r="A25" s="13">
        <v>3</v>
      </c>
      <c r="B25" s="35" t="s">
        <v>158</v>
      </c>
      <c r="C25" s="13">
        <v>1967</v>
      </c>
      <c r="D25" s="13">
        <v>2</v>
      </c>
      <c r="E25" s="13">
        <v>12</v>
      </c>
      <c r="F25" s="13">
        <v>29</v>
      </c>
      <c r="G25" s="30">
        <v>501.4</v>
      </c>
      <c r="H25" s="397"/>
      <c r="I25" s="397"/>
      <c r="J25" s="383"/>
      <c r="K25" s="383"/>
      <c r="L25" s="770">
        <v>18050.400000000001</v>
      </c>
      <c r="M25" s="770">
        <v>14926.14</v>
      </c>
      <c r="N25" s="777">
        <f>O25+P25</f>
        <v>9264.880000000001</v>
      </c>
      <c r="O25" s="22">
        <v>3884.88</v>
      </c>
      <c r="P25" s="22">
        <v>5380</v>
      </c>
      <c r="Q25" s="672">
        <f>L25-N25</f>
        <v>8785.52</v>
      </c>
      <c r="R25" s="22"/>
      <c r="S25" s="22"/>
      <c r="T25" s="22"/>
      <c r="U25" s="172"/>
      <c r="V25" s="172"/>
      <c r="W25" s="166"/>
      <c r="X25" s="166"/>
      <c r="Y25" s="166"/>
      <c r="Z25" s="166"/>
      <c r="AA25" s="196">
        <f>J25-N25</f>
        <v>-9264.880000000001</v>
      </c>
      <c r="AB25" s="107"/>
      <c r="AC25" s="107"/>
      <c r="AD25" s="107"/>
      <c r="AE25" s="107"/>
      <c r="AF25" s="107"/>
      <c r="AG25" s="107"/>
      <c r="AH25" s="107"/>
      <c r="AI25" s="107"/>
    </row>
    <row r="26" spans="1:35" ht="16.5" thickBot="1" x14ac:dyDescent="0.3">
      <c r="A26" s="190"/>
      <c r="B26" s="191" t="s">
        <v>12</v>
      </c>
      <c r="C26" s="192"/>
      <c r="D26" s="192"/>
      <c r="E26" s="193">
        <f>SUM(E24:E25)</f>
        <v>24</v>
      </c>
      <c r="F26" s="193">
        <f>SUM(F24:F25)</f>
        <v>64</v>
      </c>
      <c r="G26" s="194">
        <f>SUM(G24:G25)</f>
        <v>1004.7</v>
      </c>
      <c r="H26" s="398"/>
      <c r="I26" s="399"/>
      <c r="J26" s="647"/>
      <c r="K26" s="400"/>
      <c r="L26" s="771">
        <f>SUM(L24:L25)</f>
        <v>36169.199999999997</v>
      </c>
      <c r="M26" s="771">
        <f>SUM(M24:M25)</f>
        <v>29391.39</v>
      </c>
      <c r="N26" s="778">
        <f t="shared" ref="N26:Y26" si="5">SUM(N24:N25)</f>
        <v>9264.880000000001</v>
      </c>
      <c r="O26" s="649">
        <f t="shared" si="5"/>
        <v>3884.88</v>
      </c>
      <c r="P26" s="649">
        <f t="shared" si="5"/>
        <v>5380</v>
      </c>
      <c r="Q26" s="649">
        <f t="shared" si="5"/>
        <v>26904.32</v>
      </c>
      <c r="R26" s="649">
        <f t="shared" si="5"/>
        <v>0</v>
      </c>
      <c r="S26" s="649">
        <f t="shared" si="5"/>
        <v>0</v>
      </c>
      <c r="T26" s="649">
        <f t="shared" si="5"/>
        <v>0</v>
      </c>
      <c r="U26" s="649">
        <f t="shared" si="5"/>
        <v>0</v>
      </c>
      <c r="V26" s="649">
        <f t="shared" si="5"/>
        <v>0</v>
      </c>
      <c r="W26" s="649">
        <f t="shared" si="5"/>
        <v>0</v>
      </c>
      <c r="X26" s="649">
        <f t="shared" si="5"/>
        <v>0</v>
      </c>
      <c r="Y26" s="649">
        <f t="shared" si="5"/>
        <v>0</v>
      </c>
      <c r="Z26" s="650"/>
      <c r="AA26" s="651">
        <f>J26-N26</f>
        <v>-9264.880000000001</v>
      </c>
      <c r="AB26" s="107"/>
      <c r="AC26" s="107"/>
      <c r="AD26" s="107"/>
      <c r="AE26" s="107"/>
      <c r="AF26" s="107"/>
      <c r="AG26" s="107"/>
      <c r="AH26" s="107"/>
      <c r="AI26" s="107"/>
    </row>
    <row r="27" spans="1:35" ht="15.75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133"/>
      <c r="K27" s="133"/>
      <c r="L27" s="133"/>
      <c r="M27" s="133"/>
      <c r="N27" s="66"/>
      <c r="O27" s="66"/>
      <c r="P27" s="66"/>
      <c r="Q27" s="66"/>
      <c r="R27" s="66"/>
      <c r="S27" s="66"/>
      <c r="T27" s="66"/>
      <c r="U27" s="86"/>
      <c r="V27" s="86"/>
      <c r="W27" s="66"/>
      <c r="X27" s="86"/>
      <c r="Y27" s="66"/>
      <c r="Z27" s="66"/>
      <c r="AA27" s="66"/>
      <c r="AB27" s="107"/>
      <c r="AC27" s="107"/>
      <c r="AD27" s="107"/>
      <c r="AE27" s="107"/>
      <c r="AF27" s="107"/>
      <c r="AG27" s="107"/>
      <c r="AH27" s="107"/>
      <c r="AI27" s="107"/>
    </row>
    <row r="28" spans="1:35" x14ac:dyDescent="0.25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652"/>
      <c r="R28" s="107"/>
      <c r="S28" s="107"/>
      <c r="T28" s="107"/>
      <c r="U28" s="107"/>
      <c r="AB28" s="107"/>
      <c r="AC28" s="107"/>
      <c r="AD28" s="107"/>
      <c r="AE28" s="107"/>
      <c r="AF28" s="107"/>
      <c r="AG28" s="107"/>
      <c r="AH28" s="107"/>
      <c r="AI28" s="107"/>
    </row>
    <row r="29" spans="1:35" x14ac:dyDescent="0.25">
      <c r="AB29" s="107"/>
      <c r="AC29" s="107"/>
      <c r="AD29" s="107"/>
      <c r="AE29" s="107"/>
      <c r="AF29" s="107"/>
      <c r="AG29" s="107"/>
      <c r="AH29" s="107"/>
      <c r="AI29" s="107"/>
    </row>
    <row r="30" spans="1:35" x14ac:dyDescent="0.25">
      <c r="H30" s="143" t="s">
        <v>217</v>
      </c>
      <c r="AB30" s="107"/>
      <c r="AC30" s="107"/>
      <c r="AD30" s="107"/>
      <c r="AE30" s="107"/>
      <c r="AF30" s="107"/>
      <c r="AG30" s="107"/>
      <c r="AH30" s="107"/>
      <c r="AI30" s="107"/>
    </row>
    <row r="31" spans="1:35" x14ac:dyDescent="0.25">
      <c r="AB31" s="107"/>
      <c r="AC31" s="107"/>
      <c r="AD31" s="107"/>
      <c r="AE31" s="107"/>
      <c r="AF31" s="107"/>
      <c r="AG31" s="107"/>
      <c r="AH31" s="107"/>
      <c r="AI31" s="107"/>
    </row>
    <row r="32" spans="1:35" x14ac:dyDescent="0.25">
      <c r="AB32" s="107"/>
      <c r="AC32" s="107"/>
      <c r="AD32" s="107"/>
      <c r="AE32" s="107"/>
      <c r="AF32" s="107"/>
      <c r="AG32" s="107"/>
      <c r="AH32" s="107"/>
      <c r="AI32" s="107"/>
    </row>
    <row r="33" spans="28:35" x14ac:dyDescent="0.25">
      <c r="AB33" s="107"/>
      <c r="AC33" s="107"/>
      <c r="AD33" s="107"/>
      <c r="AE33" s="107"/>
      <c r="AF33" s="107"/>
      <c r="AG33" s="107"/>
      <c r="AH33" s="107"/>
      <c r="AI33" s="107"/>
    </row>
    <row r="34" spans="28:35" x14ac:dyDescent="0.25">
      <c r="AB34" s="107"/>
      <c r="AC34" s="107"/>
      <c r="AD34" s="107"/>
      <c r="AE34" s="107"/>
      <c r="AF34" s="107"/>
      <c r="AG34" s="107"/>
      <c r="AH34" s="107"/>
      <c r="AI34" s="107"/>
    </row>
    <row r="35" spans="28:35" x14ac:dyDescent="0.25">
      <c r="AB35" s="107"/>
      <c r="AC35" s="107"/>
      <c r="AD35" s="107"/>
      <c r="AE35" s="107"/>
      <c r="AF35" s="107"/>
      <c r="AG35" s="107"/>
      <c r="AH35" s="107"/>
      <c r="AI35" s="107"/>
    </row>
  </sheetData>
  <mergeCells count="49">
    <mergeCell ref="AA22:AA23"/>
    <mergeCell ref="AA8:AA9"/>
    <mergeCell ref="W22:W23"/>
    <mergeCell ref="T22:T23"/>
    <mergeCell ref="Y22:Y23"/>
    <mergeCell ref="Z22:Z23"/>
    <mergeCell ref="Y8:Y9"/>
    <mergeCell ref="Z8:Z9"/>
    <mergeCell ref="A22:A23"/>
    <mergeCell ref="B22:B23"/>
    <mergeCell ref="C22:C23"/>
    <mergeCell ref="D22:D23"/>
    <mergeCell ref="E22:E23"/>
    <mergeCell ref="F22:F23"/>
    <mergeCell ref="G22:G23"/>
    <mergeCell ref="H22:H23"/>
    <mergeCell ref="N22:N23"/>
    <mergeCell ref="L22:M22"/>
    <mergeCell ref="J22:J23"/>
    <mergeCell ref="K22:K23"/>
    <mergeCell ref="O22:O23"/>
    <mergeCell ref="P22:P23"/>
    <mergeCell ref="V8:V9"/>
    <mergeCell ref="W8:W9"/>
    <mergeCell ref="X8:X9"/>
    <mergeCell ref="U8:U9"/>
    <mergeCell ref="Q8:Q9"/>
    <mergeCell ref="R8:R9"/>
    <mergeCell ref="S8:S9"/>
    <mergeCell ref="T8:T9"/>
    <mergeCell ref="Q22:Q23"/>
    <mergeCell ref="R22:R23"/>
    <mergeCell ref="S22:S23"/>
    <mergeCell ref="X22:X23"/>
    <mergeCell ref="U22:U23"/>
    <mergeCell ref="V22:V23"/>
    <mergeCell ref="G8:G9"/>
    <mergeCell ref="J8:K8"/>
    <mergeCell ref="N8:N9"/>
    <mergeCell ref="O8:O9"/>
    <mergeCell ref="P8:P9"/>
    <mergeCell ref="H8:I8"/>
    <mergeCell ref="L8:M8"/>
    <mergeCell ref="F8:F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landscape" verticalDpi="0" r:id="rId1"/>
  <ignoredErrors>
    <ignoredError sqref="L12:N12 V12 V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Сосново за  2018год</vt:lpstr>
      <vt:lpstr>Суходолье за 2018год</vt:lpstr>
      <vt:lpstr>Понтонное  за 2018г.</vt:lpstr>
      <vt:lpstr>Кривко 2018г.</vt:lpstr>
      <vt:lpstr>Плодовое 2018год</vt:lpstr>
      <vt:lpstr>Ромашки 2018год</vt:lpstr>
      <vt:lpstr>Петровское 2018год</vt:lpstr>
      <vt:lpstr>Тракторное 2018год</vt:lpstr>
      <vt:lpstr>Плодовское поселение 2018г.</vt:lpstr>
      <vt:lpstr>Снегиревка 2018г</vt:lpstr>
      <vt:lpstr>Горбунки 2018г</vt:lpstr>
      <vt:lpstr>Разбегаево 2018г.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2020-07-29T09:55:05Z</dcterms:modified>
</cp:coreProperties>
</file>