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разбегаево" sheetId="1" r:id="rId1"/>
    <sheet name="горбунки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2" l="1"/>
  <c r="R9" i="2"/>
  <c r="R29" i="1" l="1"/>
  <c r="Q29" i="1"/>
  <c r="P29" i="1"/>
  <c r="O29" i="1"/>
  <c r="N29" i="1"/>
  <c r="L29" i="1"/>
  <c r="J29" i="1"/>
  <c r="H29" i="1"/>
  <c r="G29" i="1"/>
  <c r="F29" i="1"/>
  <c r="K28" i="1"/>
  <c r="K29" i="1" s="1"/>
  <c r="I28" i="1"/>
  <c r="S28" i="1" s="1"/>
  <c r="M27" i="1"/>
  <c r="I27" i="1" s="1"/>
  <c r="S27" i="1" s="1"/>
  <c r="M26" i="1"/>
  <c r="M29" i="1" s="1"/>
  <c r="I25" i="1"/>
  <c r="S25" i="1" s="1"/>
  <c r="I24" i="1"/>
  <c r="S24" i="1" s="1"/>
  <c r="AH13" i="1"/>
  <c r="AG13" i="1"/>
  <c r="AF13" i="1"/>
  <c r="AE13" i="1"/>
  <c r="AD13" i="1"/>
  <c r="AC13" i="1"/>
  <c r="AB13" i="1"/>
  <c r="X13" i="1"/>
  <c r="V13" i="1"/>
  <c r="U13" i="1"/>
  <c r="T13" i="1"/>
  <c r="P13" i="1"/>
  <c r="O13" i="1"/>
  <c r="N13" i="1"/>
  <c r="M13" i="1"/>
  <c r="L13" i="1"/>
  <c r="K13" i="1"/>
  <c r="J13" i="1"/>
  <c r="I13" i="1"/>
  <c r="H13" i="1"/>
  <c r="G13" i="1"/>
  <c r="F13" i="1"/>
  <c r="AA12" i="1"/>
  <c r="Z12" i="1"/>
  <c r="Y12" i="1"/>
  <c r="W12" i="1"/>
  <c r="V12" i="1"/>
  <c r="R12" i="1"/>
  <c r="Q12" i="1"/>
  <c r="AA11" i="1"/>
  <c r="Z11" i="1"/>
  <c r="S11" i="1" s="1"/>
  <c r="Y11" i="1"/>
  <c r="W11" i="1"/>
  <c r="V11" i="1"/>
  <c r="R11" i="1"/>
  <c r="Q11" i="1"/>
  <c r="Z10" i="1"/>
  <c r="Y10" i="1"/>
  <c r="W10" i="1"/>
  <c r="R10" i="1"/>
  <c r="Q10" i="1"/>
  <c r="Z9" i="1"/>
  <c r="Y9" i="1"/>
  <c r="W9" i="1"/>
  <c r="R9" i="1"/>
  <c r="Q9" i="1"/>
  <c r="AA8" i="1"/>
  <c r="AA13" i="1" s="1"/>
  <c r="Z8" i="1"/>
  <c r="Y8" i="1"/>
  <c r="S8" i="1" s="1"/>
  <c r="W8" i="1"/>
  <c r="W13" i="1" s="1"/>
  <c r="V8" i="1"/>
  <c r="R8" i="1"/>
  <c r="R13" i="1" s="1"/>
  <c r="Q8" i="1"/>
  <c r="Q13" i="1" s="1"/>
  <c r="M29" i="2"/>
  <c r="L29" i="2"/>
  <c r="K29" i="2"/>
  <c r="I29" i="2"/>
  <c r="H29" i="2"/>
  <c r="G29" i="2"/>
  <c r="N28" i="2"/>
  <c r="J28" i="2" s="1"/>
  <c r="J27" i="2"/>
  <c r="O26" i="2"/>
  <c r="N26" i="2"/>
  <c r="O25" i="2"/>
  <c r="J25" i="2" s="1"/>
  <c r="AE13" i="2"/>
  <c r="AD13" i="2"/>
  <c r="AC13" i="2"/>
  <c r="AB13" i="2"/>
  <c r="AA13" i="2"/>
  <c r="Z13" i="2"/>
  <c r="X13" i="2"/>
  <c r="V13" i="2"/>
  <c r="U13" i="2"/>
  <c r="T13" i="2"/>
  <c r="S13" i="2"/>
  <c r="O13" i="2"/>
  <c r="N13" i="2"/>
  <c r="M13" i="2"/>
  <c r="L13" i="2"/>
  <c r="K13" i="2"/>
  <c r="J13" i="2"/>
  <c r="I13" i="2"/>
  <c r="H13" i="2"/>
  <c r="G13" i="2"/>
  <c r="F13" i="2"/>
  <c r="R12" i="2"/>
  <c r="Q12" i="2"/>
  <c r="P12" i="2"/>
  <c r="Q11" i="2"/>
  <c r="P11" i="2"/>
  <c r="R10" i="2"/>
  <c r="Q10" i="2"/>
  <c r="P10" i="2"/>
  <c r="Q9" i="2"/>
  <c r="P9" i="2"/>
  <c r="S12" i="1" l="1"/>
  <c r="AI11" i="1"/>
  <c r="S10" i="1"/>
  <c r="AI10" i="1" s="1"/>
  <c r="Z13" i="1"/>
  <c r="S9" i="1"/>
  <c r="S13" i="1" s="1"/>
  <c r="AI9" i="1"/>
  <c r="AI12" i="1"/>
  <c r="I29" i="1"/>
  <c r="S29" i="1" s="1"/>
  <c r="I26" i="1"/>
  <c r="S26" i="1" s="1"/>
  <c r="AI8" i="1"/>
  <c r="Y13" i="1"/>
  <c r="J26" i="2"/>
  <c r="AG10" i="2"/>
  <c r="AG12" i="2"/>
  <c r="AF13" i="2"/>
  <c r="P13" i="2"/>
  <c r="Q13" i="2"/>
  <c r="J29" i="2"/>
  <c r="AG11" i="2"/>
  <c r="AG9" i="2"/>
  <c r="W13" i="2"/>
  <c r="AI13" i="1" l="1"/>
  <c r="R13" i="2"/>
  <c r="AG13" i="2"/>
</calcChain>
</file>

<file path=xl/sharedStrings.xml><?xml version="1.0" encoding="utf-8"?>
<sst xmlns="http://schemas.openxmlformats.org/spreadsheetml/2006/main" count="142" uniqueCount="70">
  <si>
    <t>Общие затраты по содержанию общего имущества п. Разбегаево 2019  год</t>
  </si>
  <si>
    <t>Содержание общего имущества 2019г</t>
  </si>
  <si>
    <t>Адрес</t>
  </si>
  <si>
    <t>Год постройки</t>
  </si>
  <si>
    <t>Этажность</t>
  </si>
  <si>
    <t>Кол-во квартир</t>
  </si>
  <si>
    <t>Кол-во проживающих</t>
  </si>
  <si>
    <t>Площадь Общая</t>
  </si>
  <si>
    <t>Взнос на кап. ремонт</t>
  </si>
  <si>
    <t>ГВС СОИ</t>
  </si>
  <si>
    <t>Содержание общего имущества</t>
  </si>
  <si>
    <t>ХВС СОИ</t>
  </si>
  <si>
    <t>Электроэнергия СОИ</t>
  </si>
  <si>
    <t>Всего затрат по дому</t>
  </si>
  <si>
    <t>Услуги АДС</t>
  </si>
  <si>
    <t>Дератизация</t>
  </si>
  <si>
    <t>Зарплата ( +30,2%)</t>
  </si>
  <si>
    <t>Канц. расходы,услуги мобильной связи</t>
  </si>
  <si>
    <t>Компенс. за использования личного транспорта</t>
  </si>
  <si>
    <t>Материалы</t>
  </si>
  <si>
    <t>Учеба по охране труда</t>
  </si>
  <si>
    <t>Общехозяйственные расходы</t>
  </si>
  <si>
    <t>Проверка вент.каналов</t>
  </si>
  <si>
    <t>Публикация объявлений в газете</t>
  </si>
  <si>
    <t>Транспортный цех</t>
  </si>
  <si>
    <t>Услуги ЕИРЦ</t>
  </si>
  <si>
    <t>Электроэнергия коммунальная</t>
  </si>
  <si>
    <t>Уборка помещений( Зарплата)</t>
  </si>
  <si>
    <t>Уборка помещений ( Материалы)</t>
  </si>
  <si>
    <t>Остаток по дому</t>
  </si>
  <si>
    <t>Начислено</t>
  </si>
  <si>
    <t>Оплачено</t>
  </si>
  <si>
    <t xml:space="preserve">Начислено </t>
  </si>
  <si>
    <t xml:space="preserve">Оплачено </t>
  </si>
  <si>
    <t>Разбегаево,45</t>
  </si>
  <si>
    <t>Разбегаево,47</t>
  </si>
  <si>
    <t>Разбегаево,51</t>
  </si>
  <si>
    <t>Разбегаево,53</t>
  </si>
  <si>
    <t>Разбегаево,55</t>
  </si>
  <si>
    <t>Итого по поселку</t>
  </si>
  <si>
    <t>Текущий ремонт п.Разбегаево 2019г.</t>
  </si>
  <si>
    <t>Теущий ремонт 2019г</t>
  </si>
  <si>
    <t>Текущий ремонт</t>
  </si>
  <si>
    <t>всего затрат</t>
  </si>
  <si>
    <t>герметиз швов</t>
  </si>
  <si>
    <t>ремонт кровли</t>
  </si>
  <si>
    <t>ремонт отмостки</t>
  </si>
  <si>
    <t>ремонт подъездов</t>
  </si>
  <si>
    <t>установка парапетов</t>
  </si>
  <si>
    <t>установка окон</t>
  </si>
  <si>
    <t>утепление труб отопл</t>
  </si>
  <si>
    <t>утепление труб гвс</t>
  </si>
  <si>
    <t>ремонт решеток</t>
  </si>
  <si>
    <t>Итого  по дому по всем видам начисления ( по содержанию общего имущества )за 2018год</t>
  </si>
  <si>
    <t>Комп. за использование л/транспорта</t>
  </si>
  <si>
    <t xml:space="preserve">Общехозяйст. расходы </t>
  </si>
  <si>
    <t>Публикац. объявлений в газете</t>
  </si>
  <si>
    <t>Транспорт.расходы</t>
  </si>
  <si>
    <t>Услуги мобильной связи</t>
  </si>
  <si>
    <t>Уборка помещений ( Зарплата)</t>
  </si>
  <si>
    <t>Горбунки д,14 кор.1</t>
  </si>
  <si>
    <t>Горбунки д,14 кор.2</t>
  </si>
  <si>
    <t>Горбунки д,14 кор.3</t>
  </si>
  <si>
    <t>Горбунки д,18</t>
  </si>
  <si>
    <t>Итого</t>
  </si>
  <si>
    <t>Текущий ремонт п. Горбунки 2019 год</t>
  </si>
  <si>
    <t>всего</t>
  </si>
  <si>
    <t>ремонт освещения</t>
  </si>
  <si>
    <t>канализ</t>
  </si>
  <si>
    <t>проверка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</si>
</sst>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 Cyr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4"/>
      <color theme="1"/>
      <name val="Calibri"/>
      <family val="2"/>
      <charset val="204"/>
      <scheme val="minor"/>
    </font>
    <font>
      <b/>
      <i/>
      <sz val="10"/>
      <name val="Arial Cyr"/>
      <charset val="204"/>
    </font>
    <font>
      <sz val="10"/>
      <name val="Arial Cyr"/>
      <charset val="204"/>
    </font>
    <font>
      <b/>
      <i/>
      <sz val="10"/>
      <name val="Arial Cyr"/>
      <family val="2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5" xfId="0" applyFont="1" applyBorder="1"/>
    <xf numFmtId="0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2" fillId="0" borderId="5" xfId="0" applyFont="1" applyBorder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/>
    <xf numFmtId="4" fontId="0" fillId="0" borderId="1" xfId="0" applyNumberFormat="1" applyBorder="1"/>
    <xf numFmtId="0" fontId="8" fillId="0" borderId="6" xfId="0" applyFont="1" applyBorder="1" applyAlignment="1"/>
    <xf numFmtId="0" fontId="8" fillId="0" borderId="9" xfId="0" applyFont="1" applyBorder="1" applyAlignment="1"/>
    <xf numFmtId="0" fontId="8" fillId="0" borderId="0" xfId="0" applyFont="1" applyBorder="1" applyAlignment="1"/>
    <xf numFmtId="0" fontId="8" fillId="0" borderId="10" xfId="0" applyFont="1" applyBorder="1" applyAlignment="1"/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/>
    <xf numFmtId="0" fontId="2" fillId="0" borderId="9" xfId="0" applyFont="1" applyBorder="1" applyAlignment="1"/>
    <xf numFmtId="0" fontId="2" fillId="0" borderId="0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12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 applyBorder="1"/>
    <xf numFmtId="4" fontId="2" fillId="0" borderId="0" xfId="0" applyNumberFormat="1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3" borderId="1" xfId="0" applyNumberFormat="1" applyFill="1" applyBorder="1" applyAlignment="1">
      <alignment horizontal="right" vertical="center"/>
    </xf>
    <xf numFmtId="0" fontId="3" fillId="0" borderId="6" xfId="0" applyFont="1" applyBorder="1" applyAlignment="1"/>
    <xf numFmtId="0" fontId="3" fillId="0" borderId="9" xfId="0" applyFont="1" applyBorder="1" applyAlignment="1"/>
    <xf numFmtId="0" fontId="11" fillId="0" borderId="0" xfId="0" applyFont="1" applyBorder="1" applyAlignment="1">
      <alignment vertical="top" wrapText="1"/>
    </xf>
    <xf numFmtId="0" fontId="3" fillId="0" borderId="10" xfId="0" applyFont="1" applyBorder="1" applyAlignment="1"/>
    <xf numFmtId="0" fontId="3" fillId="0" borderId="0" xfId="0" applyFont="1" applyBorder="1" applyAlignment="1"/>
    <xf numFmtId="0" fontId="9" fillId="4" borderId="5" xfId="0" applyFont="1" applyFill="1" applyBorder="1" applyAlignment="1">
      <alignment horizontal="center" vertical="top" wrapText="1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4" fontId="6" fillId="4" borderId="1" xfId="0" applyNumberFormat="1" applyFont="1" applyFill="1" applyBorder="1" applyAlignment="1">
      <alignment horizontal="right"/>
    </xf>
    <xf numFmtId="4" fontId="7" fillId="4" borderId="1" xfId="0" applyNumberFormat="1" applyFont="1" applyFill="1" applyBorder="1" applyAlignment="1">
      <alignment horizontal="right"/>
    </xf>
    <xf numFmtId="4" fontId="7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/>
    <xf numFmtId="4" fontId="2" fillId="4" borderId="1" xfId="0" applyNumberFormat="1" applyFont="1" applyFill="1" applyBorder="1"/>
    <xf numFmtId="4" fontId="0" fillId="4" borderId="1" xfId="0" applyNumberForma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4" borderId="4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36"/>
  <sheetViews>
    <sheetView tabSelected="1" topLeftCell="K7" workbookViewId="0">
      <selection activeCell="M29" sqref="M29"/>
    </sheetView>
  </sheetViews>
  <sheetFormatPr defaultRowHeight="15" x14ac:dyDescent="0.25"/>
  <cols>
    <col min="1" max="1" width="19.7109375" customWidth="1"/>
    <col min="6" max="6" width="11.7109375" customWidth="1"/>
    <col min="7" max="7" width="14" customWidth="1"/>
    <col min="8" max="8" width="13" customWidth="1"/>
    <col min="9" max="9" width="12.42578125" customWidth="1"/>
    <col min="11" max="11" width="14.42578125" customWidth="1"/>
    <col min="12" max="12" width="12.140625" customWidth="1"/>
    <col min="13" max="13" width="12.7109375" customWidth="1"/>
    <col min="14" max="14" width="12.28515625" customWidth="1"/>
    <col min="15" max="15" width="11.7109375" customWidth="1"/>
    <col min="16" max="17" width="12" customWidth="1"/>
    <col min="18" max="18" width="12.7109375" customWidth="1"/>
    <col min="19" max="19" width="14.5703125" customWidth="1"/>
    <col min="22" max="22" width="13.140625" customWidth="1"/>
    <col min="27" max="27" width="12.5703125" customWidth="1"/>
    <col min="31" max="31" width="12.5703125" customWidth="1"/>
    <col min="33" max="33" width="12.85546875" customWidth="1"/>
    <col min="35" max="35" width="12.140625" customWidth="1"/>
  </cols>
  <sheetData>
    <row r="3" spans="1:35" ht="18.75" x14ac:dyDescent="0.3">
      <c r="A3" s="4"/>
      <c r="B3" s="39" t="s">
        <v>0</v>
      </c>
      <c r="C3" s="3"/>
      <c r="D3" s="3"/>
      <c r="E3" s="3"/>
      <c r="F3" s="3"/>
      <c r="G3" s="2" t="s">
        <v>1</v>
      </c>
      <c r="H3" s="3"/>
      <c r="I3" s="3"/>
      <c r="J3" s="3"/>
      <c r="K3" s="3"/>
      <c r="L3" s="3"/>
      <c r="M3" s="3"/>
      <c r="N3" s="3"/>
      <c r="O3" s="3"/>
      <c r="P3" s="3"/>
    </row>
    <row r="4" spans="1:35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6" spans="1:35" x14ac:dyDescent="0.25">
      <c r="A6" s="91" t="s">
        <v>2</v>
      </c>
      <c r="B6" s="90" t="s">
        <v>3</v>
      </c>
      <c r="C6" s="90" t="s">
        <v>4</v>
      </c>
      <c r="D6" s="90" t="s">
        <v>5</v>
      </c>
      <c r="E6" s="90" t="s">
        <v>6</v>
      </c>
      <c r="F6" s="90" t="s">
        <v>7</v>
      </c>
      <c r="G6" s="93" t="s">
        <v>8</v>
      </c>
      <c r="H6" s="94"/>
      <c r="I6" s="93" t="s">
        <v>9</v>
      </c>
      <c r="J6" s="94"/>
      <c r="K6" s="93" t="s">
        <v>10</v>
      </c>
      <c r="L6" s="94"/>
      <c r="M6" s="93" t="s">
        <v>11</v>
      </c>
      <c r="N6" s="94"/>
      <c r="O6" s="93" t="s">
        <v>12</v>
      </c>
      <c r="P6" s="94"/>
      <c r="Q6" s="113" t="s">
        <v>10</v>
      </c>
      <c r="R6" s="114"/>
      <c r="S6" s="104" t="s">
        <v>13</v>
      </c>
      <c r="T6" s="90" t="s">
        <v>14</v>
      </c>
      <c r="U6" s="90" t="s">
        <v>15</v>
      </c>
      <c r="V6" s="106" t="s">
        <v>16</v>
      </c>
      <c r="W6" s="95" t="s">
        <v>17</v>
      </c>
      <c r="X6" s="112" t="s">
        <v>18</v>
      </c>
      <c r="Y6" s="100" t="s">
        <v>19</v>
      </c>
      <c r="Z6" s="100" t="s">
        <v>20</v>
      </c>
      <c r="AA6" s="95" t="s">
        <v>21</v>
      </c>
      <c r="AB6" s="100" t="s">
        <v>22</v>
      </c>
      <c r="AC6" s="100" t="s">
        <v>23</v>
      </c>
      <c r="AD6" s="102" t="s">
        <v>24</v>
      </c>
      <c r="AE6" s="100" t="s">
        <v>25</v>
      </c>
      <c r="AF6" s="109" t="s">
        <v>26</v>
      </c>
      <c r="AG6" s="110" t="s">
        <v>27</v>
      </c>
      <c r="AH6" s="110" t="s">
        <v>28</v>
      </c>
      <c r="AI6" s="95" t="s">
        <v>29</v>
      </c>
    </row>
    <row r="7" spans="1:35" ht="84" customHeight="1" x14ac:dyDescent="0.25">
      <c r="A7" s="92"/>
      <c r="B7" s="90"/>
      <c r="C7" s="90"/>
      <c r="D7" s="90"/>
      <c r="E7" s="90"/>
      <c r="F7" s="90"/>
      <c r="G7" s="40" t="s">
        <v>30</v>
      </c>
      <c r="H7" s="40" t="s">
        <v>31</v>
      </c>
      <c r="I7" s="40" t="s">
        <v>30</v>
      </c>
      <c r="J7" s="40" t="s">
        <v>31</v>
      </c>
      <c r="K7" s="41" t="s">
        <v>32</v>
      </c>
      <c r="L7" s="42" t="s">
        <v>33</v>
      </c>
      <c r="M7" s="40" t="s">
        <v>30</v>
      </c>
      <c r="N7" s="40" t="s">
        <v>31</v>
      </c>
      <c r="O7" s="40" t="s">
        <v>30</v>
      </c>
      <c r="P7" s="40" t="s">
        <v>31</v>
      </c>
      <c r="Q7" s="88" t="s">
        <v>32</v>
      </c>
      <c r="R7" s="89" t="s">
        <v>33</v>
      </c>
      <c r="S7" s="105"/>
      <c r="T7" s="90"/>
      <c r="U7" s="90"/>
      <c r="V7" s="106"/>
      <c r="W7" s="96"/>
      <c r="X7" s="112"/>
      <c r="Y7" s="101"/>
      <c r="Z7" s="101"/>
      <c r="AA7" s="96"/>
      <c r="AB7" s="101"/>
      <c r="AC7" s="101"/>
      <c r="AD7" s="103"/>
      <c r="AE7" s="103"/>
      <c r="AF7" s="109"/>
      <c r="AG7" s="111"/>
      <c r="AH7" s="111"/>
      <c r="AI7" s="96"/>
    </row>
    <row r="8" spans="1:35" x14ac:dyDescent="0.25">
      <c r="A8" s="43" t="s">
        <v>34</v>
      </c>
      <c r="B8" s="44">
        <v>1993</v>
      </c>
      <c r="C8" s="45">
        <v>5</v>
      </c>
      <c r="D8" s="44">
        <v>99</v>
      </c>
      <c r="E8" s="46"/>
      <c r="F8" s="12">
        <v>5080.3999999999996</v>
      </c>
      <c r="G8" s="12">
        <v>207187.20000000001</v>
      </c>
      <c r="H8" s="12">
        <v>154559.78</v>
      </c>
      <c r="I8" s="12"/>
      <c r="J8" s="12">
        <v>1.22</v>
      </c>
      <c r="K8" s="12">
        <v>842026.32</v>
      </c>
      <c r="L8" s="12">
        <v>783053.11</v>
      </c>
      <c r="M8" s="12"/>
      <c r="N8" s="12">
        <v>0.43</v>
      </c>
      <c r="O8" s="12">
        <v>11545.32</v>
      </c>
      <c r="P8" s="12">
        <v>10599.53</v>
      </c>
      <c r="Q8" s="81">
        <f>I8+K8+M8+O8</f>
        <v>853571.6399999999</v>
      </c>
      <c r="R8" s="81">
        <f>J8+L8+N8+P8</f>
        <v>793654.29</v>
      </c>
      <c r="S8" s="81">
        <f>T8+U8+V8+W8+X8+Y8+Z8+AA8+AB8+AC8+AD8+AE8+AF8+AG8+AH8</f>
        <v>982066.31542151293</v>
      </c>
      <c r="T8" s="13">
        <v>22470.99</v>
      </c>
      <c r="U8" s="13">
        <v>3289.2</v>
      </c>
      <c r="V8" s="13">
        <f>413336.89-26869-13740</f>
        <v>372727.89</v>
      </c>
      <c r="W8" s="13">
        <f>373.03+1570.8</f>
        <v>1943.83</v>
      </c>
      <c r="X8" s="13">
        <v>3478.8</v>
      </c>
      <c r="Y8" s="13">
        <f>24148.4+644</f>
        <v>24792.400000000001</v>
      </c>
      <c r="Z8" s="13">
        <f>3000/27658.7*F8</f>
        <v>551.04542151294163</v>
      </c>
      <c r="AA8" s="13">
        <f>308659.76-19346-9893</f>
        <v>279420.76</v>
      </c>
      <c r="AB8" s="13">
        <v>4950</v>
      </c>
      <c r="AC8" s="13">
        <v>93.15</v>
      </c>
      <c r="AD8" s="13">
        <v>18916.11</v>
      </c>
      <c r="AE8" s="13">
        <v>46496.85</v>
      </c>
      <c r="AF8" s="13">
        <v>15498.01</v>
      </c>
      <c r="AG8" s="13">
        <v>183012.15</v>
      </c>
      <c r="AH8" s="13">
        <v>4425.13</v>
      </c>
      <c r="AI8" s="13">
        <f>Q8-S8</f>
        <v>-128494.67542151303</v>
      </c>
    </row>
    <row r="9" spans="1:35" x14ac:dyDescent="0.25">
      <c r="A9" s="43" t="s">
        <v>35</v>
      </c>
      <c r="B9" s="44">
        <v>1983</v>
      </c>
      <c r="C9" s="45">
        <v>5</v>
      </c>
      <c r="D9" s="44">
        <v>80</v>
      </c>
      <c r="E9" s="46"/>
      <c r="F9" s="12">
        <v>4252</v>
      </c>
      <c r="G9" s="12">
        <v>157857.12</v>
      </c>
      <c r="H9" s="12">
        <v>120596.6</v>
      </c>
      <c r="I9" s="12">
        <v>18532.84</v>
      </c>
      <c r="J9" s="12">
        <v>15727.03</v>
      </c>
      <c r="K9" s="12">
        <v>669049.68000000005</v>
      </c>
      <c r="L9" s="12">
        <v>667267.19999999995</v>
      </c>
      <c r="M9" s="12">
        <v>3205.98</v>
      </c>
      <c r="N9" s="12">
        <v>3052.76</v>
      </c>
      <c r="O9" s="12">
        <v>6709.32</v>
      </c>
      <c r="P9" s="12">
        <v>6373.4</v>
      </c>
      <c r="Q9" s="81">
        <f t="shared" ref="Q9:R12" si="0">I9+K9+M9+O9</f>
        <v>697497.82</v>
      </c>
      <c r="R9" s="81">
        <f t="shared" si="0"/>
        <v>692420.39</v>
      </c>
      <c r="S9" s="81">
        <f t="shared" ref="S9:S12" si="1">T9+U9+V9+W9+X9+Y9+Z9+AA9+AB9+AC9+AD9+AE9+AF9+AG9+AH9</f>
        <v>888023.08304233372</v>
      </c>
      <c r="T9" s="13">
        <v>18806.900000000001</v>
      </c>
      <c r="U9" s="13">
        <v>5233.6000000000004</v>
      </c>
      <c r="V9" s="13">
        <v>349207.72</v>
      </c>
      <c r="W9" s="13">
        <f>312.21+1314.66</f>
        <v>1626.8700000000001</v>
      </c>
      <c r="X9" s="13">
        <v>2911.54</v>
      </c>
      <c r="Y9" s="13">
        <f>761+24502.11+644</f>
        <v>25907.11</v>
      </c>
      <c r="Z9" s="13">
        <f t="shared" ref="Z9:Z12" si="2">3000/27658.7*F9</f>
        <v>461.19304233387686</v>
      </c>
      <c r="AA9" s="13">
        <v>258330.32</v>
      </c>
      <c r="AB9" s="13"/>
      <c r="AC9" s="13">
        <v>77.95</v>
      </c>
      <c r="AD9" s="13">
        <v>15831.69</v>
      </c>
      <c r="AE9" s="13">
        <v>43915.02</v>
      </c>
      <c r="AF9" s="13">
        <v>12603.15</v>
      </c>
      <c r="AG9" s="13">
        <v>150382.65</v>
      </c>
      <c r="AH9" s="13">
        <v>2727.37</v>
      </c>
      <c r="AI9" s="13">
        <f t="shared" ref="AI9:AI12" si="3">Q9-S9</f>
        <v>-190525.26304233377</v>
      </c>
    </row>
    <row r="10" spans="1:35" x14ac:dyDescent="0.25">
      <c r="A10" s="43" t="s">
        <v>36</v>
      </c>
      <c r="B10" s="44">
        <v>1976</v>
      </c>
      <c r="C10" s="45">
        <v>5</v>
      </c>
      <c r="D10" s="44">
        <v>80</v>
      </c>
      <c r="E10" s="46"/>
      <c r="F10" s="12">
        <v>3708.7</v>
      </c>
      <c r="G10" s="12">
        <v>147098.16</v>
      </c>
      <c r="H10" s="12">
        <v>107220.63</v>
      </c>
      <c r="I10" s="12">
        <v>24304.26</v>
      </c>
      <c r="J10" s="12">
        <v>19685.46</v>
      </c>
      <c r="K10" s="12">
        <v>614260.07999999996</v>
      </c>
      <c r="L10" s="12">
        <v>601002.05000000005</v>
      </c>
      <c r="M10" s="12">
        <v>4204.62</v>
      </c>
      <c r="N10" s="12">
        <v>3868.18</v>
      </c>
      <c r="O10" s="12">
        <v>8798.52</v>
      </c>
      <c r="P10" s="12">
        <v>8320.3700000000008</v>
      </c>
      <c r="Q10" s="81">
        <f t="shared" si="0"/>
        <v>651567.48</v>
      </c>
      <c r="R10" s="81">
        <f t="shared" si="0"/>
        <v>632876.06000000006</v>
      </c>
      <c r="S10" s="81">
        <f t="shared" si="1"/>
        <v>759033.2040254242</v>
      </c>
      <c r="T10" s="13">
        <v>16403.87</v>
      </c>
      <c r="U10" s="13">
        <v>2253.6</v>
      </c>
      <c r="V10" s="13">
        <v>300190.21999999997</v>
      </c>
      <c r="W10" s="13">
        <f>272.31+1146.68</f>
        <v>1418.99</v>
      </c>
      <c r="X10" s="13">
        <v>2539.52</v>
      </c>
      <c r="Y10" s="13">
        <f>15638.99+644</f>
        <v>16282.99</v>
      </c>
      <c r="Z10" s="13">
        <f t="shared" si="2"/>
        <v>402.26402542418839</v>
      </c>
      <c r="AA10" s="13">
        <v>225322.13</v>
      </c>
      <c r="AB10" s="13"/>
      <c r="AC10" s="13">
        <v>67.989999999999995</v>
      </c>
      <c r="AD10" s="13">
        <v>13808.8</v>
      </c>
      <c r="AE10" s="13">
        <v>39218.400000000001</v>
      </c>
      <c r="AF10" s="13">
        <v>5383.97</v>
      </c>
      <c r="AG10" s="13">
        <v>132392.09</v>
      </c>
      <c r="AH10" s="13">
        <v>3348.37</v>
      </c>
      <c r="AI10" s="13">
        <f t="shared" si="3"/>
        <v>-107465.72402542422</v>
      </c>
    </row>
    <row r="11" spans="1:35" x14ac:dyDescent="0.25">
      <c r="A11" s="43" t="s">
        <v>37</v>
      </c>
      <c r="B11" s="44">
        <v>1974</v>
      </c>
      <c r="C11" s="45">
        <v>5</v>
      </c>
      <c r="D11" s="44">
        <v>60</v>
      </c>
      <c r="E11" s="46"/>
      <c r="F11" s="12">
        <v>2878.3</v>
      </c>
      <c r="G11" s="12">
        <v>141108.48000000001</v>
      </c>
      <c r="H11" s="12">
        <v>100700.87</v>
      </c>
      <c r="I11" s="12">
        <v>18228.240000000002</v>
      </c>
      <c r="J11" s="12">
        <v>13385.91</v>
      </c>
      <c r="K11" s="12">
        <v>461627.04</v>
      </c>
      <c r="L11" s="12">
        <v>409796.7</v>
      </c>
      <c r="M11" s="12">
        <v>3153.48</v>
      </c>
      <c r="N11" s="12">
        <v>2568.84</v>
      </c>
      <c r="O11" s="12">
        <v>6599.34</v>
      </c>
      <c r="P11" s="12">
        <v>5558.89</v>
      </c>
      <c r="Q11" s="81">
        <f t="shared" si="0"/>
        <v>489608.1</v>
      </c>
      <c r="R11" s="81">
        <f t="shared" si="0"/>
        <v>431310.34</v>
      </c>
      <c r="S11" s="81">
        <f t="shared" si="1"/>
        <v>563727.02471630985</v>
      </c>
      <c r="T11" s="13">
        <v>12730.5</v>
      </c>
      <c r="U11" s="13">
        <v>5400</v>
      </c>
      <c r="V11" s="13">
        <f>238051.75-36990</f>
        <v>201061.75</v>
      </c>
      <c r="W11" s="13">
        <f>211.33+889.9</f>
        <v>1101.23</v>
      </c>
      <c r="X11" s="13">
        <v>1970.84</v>
      </c>
      <c r="Y11" s="13">
        <f>11963.61+644</f>
        <v>12607.61</v>
      </c>
      <c r="Z11" s="13">
        <f t="shared" si="2"/>
        <v>312.19471630987721</v>
      </c>
      <c r="AA11" s="13">
        <f>174865.09-26632</f>
        <v>148233.09</v>
      </c>
      <c r="AB11" s="13"/>
      <c r="AC11" s="13">
        <v>52.77</v>
      </c>
      <c r="AD11" s="13">
        <v>10716.55</v>
      </c>
      <c r="AE11" s="13">
        <v>33418.629999999997</v>
      </c>
      <c r="AF11" s="13">
        <v>3635.44</v>
      </c>
      <c r="AG11" s="13">
        <v>129919.8</v>
      </c>
      <c r="AH11" s="13">
        <v>2566.62</v>
      </c>
      <c r="AI11" s="13">
        <f t="shared" si="3"/>
        <v>-74118.924716309877</v>
      </c>
    </row>
    <row r="12" spans="1:35" x14ac:dyDescent="0.25">
      <c r="A12" s="43" t="s">
        <v>38</v>
      </c>
      <c r="B12" s="44">
        <v>1973</v>
      </c>
      <c r="C12" s="45">
        <v>5</v>
      </c>
      <c r="D12" s="44">
        <v>90</v>
      </c>
      <c r="E12" s="46"/>
      <c r="F12" s="12">
        <v>4367.3999999999996</v>
      </c>
      <c r="G12" s="12">
        <v>240440.8</v>
      </c>
      <c r="H12" s="12">
        <v>187731.73</v>
      </c>
      <c r="I12" s="12"/>
      <c r="J12" s="12">
        <v>44.86</v>
      </c>
      <c r="K12" s="12">
        <v>687078.72</v>
      </c>
      <c r="L12" s="12">
        <v>706159.98</v>
      </c>
      <c r="M12" s="12"/>
      <c r="N12" s="12">
        <v>14.95</v>
      </c>
      <c r="O12" s="12">
        <v>11979.66</v>
      </c>
      <c r="P12" s="12">
        <v>11728.29</v>
      </c>
      <c r="Q12" s="81">
        <f t="shared" si="0"/>
        <v>699058.38</v>
      </c>
      <c r="R12" s="81">
        <f t="shared" si="0"/>
        <v>717948.08</v>
      </c>
      <c r="S12" s="81">
        <f t="shared" si="1"/>
        <v>900568.3698995976</v>
      </c>
      <c r="T12" s="13">
        <v>19404.009999999998</v>
      </c>
      <c r="U12" s="13"/>
      <c r="V12" s="13">
        <f>355093.3-14965-16919</f>
        <v>323209.3</v>
      </c>
      <c r="W12" s="13">
        <f>322.12+1356.4</f>
        <v>1678.52</v>
      </c>
      <c r="X12" s="13">
        <v>3003.99</v>
      </c>
      <c r="Y12" s="13">
        <f>13885.16+5144</f>
        <v>19029.16</v>
      </c>
      <c r="Z12" s="13">
        <f t="shared" si="2"/>
        <v>473.70989959759493</v>
      </c>
      <c r="AA12" s="13">
        <f>266532.25-10775-12182</f>
        <v>243575.25</v>
      </c>
      <c r="AB12" s="13"/>
      <c r="AC12" s="13">
        <v>80.430000000000007</v>
      </c>
      <c r="AD12" s="13">
        <v>16334.35</v>
      </c>
      <c r="AE12" s="13">
        <v>54429.81</v>
      </c>
      <c r="AF12" s="13">
        <v>9016.1299999999992</v>
      </c>
      <c r="AG12" s="13">
        <v>206616.56</v>
      </c>
      <c r="AH12" s="13">
        <v>3717.15</v>
      </c>
      <c r="AI12" s="13">
        <f t="shared" si="3"/>
        <v>-201509.9898995976</v>
      </c>
    </row>
    <row r="13" spans="1:35" x14ac:dyDescent="0.25">
      <c r="A13" s="47" t="s">
        <v>39</v>
      </c>
      <c r="B13" s="48"/>
      <c r="C13" s="49"/>
      <c r="D13" s="48"/>
      <c r="E13" s="48"/>
      <c r="F13" s="14">
        <f>SUM(F8:F12)</f>
        <v>20286.799999999996</v>
      </c>
      <c r="G13" s="14">
        <f t="shared" ref="G13:AH13" si="4">SUM(G8:G12)</f>
        <v>893691.76</v>
      </c>
      <c r="H13" s="14">
        <f t="shared" si="4"/>
        <v>670809.61</v>
      </c>
      <c r="I13" s="14">
        <f t="shared" si="4"/>
        <v>61065.34</v>
      </c>
      <c r="J13" s="14">
        <f t="shared" si="4"/>
        <v>48844.479999999996</v>
      </c>
      <c r="K13" s="14">
        <f t="shared" si="4"/>
        <v>3274041.84</v>
      </c>
      <c r="L13" s="14">
        <f t="shared" si="4"/>
        <v>3167279.04</v>
      </c>
      <c r="M13" s="14">
        <f t="shared" si="4"/>
        <v>10564.08</v>
      </c>
      <c r="N13" s="14">
        <f t="shared" si="4"/>
        <v>9505.16</v>
      </c>
      <c r="O13" s="14">
        <f t="shared" si="4"/>
        <v>45632.160000000003</v>
      </c>
      <c r="P13" s="14">
        <f t="shared" si="4"/>
        <v>42580.480000000003</v>
      </c>
      <c r="Q13" s="83">
        <f t="shared" si="4"/>
        <v>3391303.42</v>
      </c>
      <c r="R13" s="83">
        <f t="shared" si="4"/>
        <v>3268209.16</v>
      </c>
      <c r="S13" s="83">
        <f t="shared" si="4"/>
        <v>4093417.997105178</v>
      </c>
      <c r="T13" s="14">
        <f t="shared" si="4"/>
        <v>89816.26999999999</v>
      </c>
      <c r="U13" s="14">
        <f t="shared" si="4"/>
        <v>16176.4</v>
      </c>
      <c r="V13" s="14">
        <f t="shared" si="4"/>
        <v>1546396.8800000001</v>
      </c>
      <c r="W13" s="14">
        <f t="shared" si="4"/>
        <v>7769.4400000000005</v>
      </c>
      <c r="X13" s="14">
        <f t="shared" si="4"/>
        <v>13904.69</v>
      </c>
      <c r="Y13" s="14">
        <f t="shared" si="4"/>
        <v>98619.27</v>
      </c>
      <c r="Z13" s="14">
        <f t="shared" si="4"/>
        <v>2200.407105178479</v>
      </c>
      <c r="AA13" s="14">
        <f t="shared" si="4"/>
        <v>1154881.55</v>
      </c>
      <c r="AB13" s="14">
        <f t="shared" si="4"/>
        <v>4950</v>
      </c>
      <c r="AC13" s="14">
        <f t="shared" si="4"/>
        <v>372.29</v>
      </c>
      <c r="AD13" s="14">
        <f t="shared" si="4"/>
        <v>75607.500000000015</v>
      </c>
      <c r="AE13" s="14">
        <f t="shared" si="4"/>
        <v>217478.71</v>
      </c>
      <c r="AF13" s="14">
        <f t="shared" si="4"/>
        <v>46136.7</v>
      </c>
      <c r="AG13" s="14">
        <f t="shared" si="4"/>
        <v>802323.25</v>
      </c>
      <c r="AH13" s="14">
        <f t="shared" si="4"/>
        <v>16784.64</v>
      </c>
      <c r="AI13" s="14">
        <f>SUM(AI8:AI12)</f>
        <v>-702114.5771051785</v>
      </c>
    </row>
    <row r="14" spans="1:35" x14ac:dyDescent="0.25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0"/>
      <c r="R14" s="50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</row>
    <row r="15" spans="1:35" x14ac:dyDescent="0.25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3"/>
      <c r="R15" s="53"/>
      <c r="S15" s="53"/>
      <c r="T15" s="53"/>
      <c r="U15" s="55"/>
      <c r="V15" s="53"/>
      <c r="W15" s="53"/>
      <c r="X15" s="56"/>
      <c r="Y15" s="53"/>
      <c r="Z15" s="53"/>
      <c r="AA15" s="53"/>
      <c r="AB15" s="56"/>
      <c r="AC15" s="55"/>
      <c r="AD15" s="53"/>
      <c r="AE15" s="53"/>
      <c r="AF15" s="55"/>
      <c r="AG15" s="55"/>
      <c r="AH15" s="55"/>
      <c r="AI15" s="55"/>
    </row>
    <row r="16" spans="1:35" x14ac:dyDescent="0.2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</row>
    <row r="17" spans="1:35" x14ac:dyDescent="0.25">
      <c r="A17" s="57"/>
      <c r="B17" s="58"/>
      <c r="C17" s="58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</row>
    <row r="18" spans="1:35" x14ac:dyDescent="0.25">
      <c r="A18" s="57"/>
      <c r="B18" s="58"/>
      <c r="C18" s="58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</row>
    <row r="19" spans="1:35" ht="18.75" x14ac:dyDescent="0.3">
      <c r="A19" s="57"/>
      <c r="B19" s="59" t="s">
        <v>40</v>
      </c>
      <c r="C19" s="58"/>
      <c r="D19" s="58"/>
      <c r="E19" s="54"/>
      <c r="F19" s="54" t="s">
        <v>41</v>
      </c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</row>
    <row r="20" spans="1:35" x14ac:dyDescent="0.25">
      <c r="A20" s="57"/>
      <c r="B20" s="58"/>
      <c r="C20" s="58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</row>
    <row r="21" spans="1:35" x14ac:dyDescent="0.25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</row>
    <row r="22" spans="1:35" x14ac:dyDescent="0.25">
      <c r="A22" s="97" t="s">
        <v>2</v>
      </c>
      <c r="B22" s="99" t="s">
        <v>3</v>
      </c>
      <c r="C22" s="99" t="s">
        <v>4</v>
      </c>
      <c r="D22" s="99" t="s">
        <v>5</v>
      </c>
      <c r="E22" s="99" t="s">
        <v>6</v>
      </c>
      <c r="F22" s="99" t="s">
        <v>7</v>
      </c>
      <c r="G22" s="119" t="s">
        <v>42</v>
      </c>
      <c r="H22" s="120"/>
      <c r="I22" s="121" t="s">
        <v>43</v>
      </c>
      <c r="J22" s="107" t="s">
        <v>44</v>
      </c>
      <c r="K22" s="107" t="s">
        <v>45</v>
      </c>
      <c r="L22" s="107" t="s">
        <v>46</v>
      </c>
      <c r="M22" s="107" t="s">
        <v>47</v>
      </c>
      <c r="N22" s="107" t="s">
        <v>48</v>
      </c>
      <c r="O22" s="107" t="s">
        <v>49</v>
      </c>
      <c r="P22" s="107" t="s">
        <v>50</v>
      </c>
      <c r="Q22" s="107" t="s">
        <v>51</v>
      </c>
      <c r="R22" s="117" t="s">
        <v>52</v>
      </c>
      <c r="S22" s="107" t="s">
        <v>29</v>
      </c>
      <c r="T22" s="107"/>
      <c r="U22" s="123"/>
      <c r="V22" s="124"/>
      <c r="W22" s="62"/>
      <c r="X22" s="124"/>
      <c r="Y22" s="115"/>
      <c r="Z22" s="115"/>
      <c r="AA22" s="115"/>
      <c r="AB22" s="115"/>
      <c r="AC22" s="115"/>
      <c r="AD22" s="115"/>
      <c r="AE22" s="115"/>
      <c r="AF22" s="126"/>
      <c r="AG22" s="124"/>
      <c r="AH22" s="124"/>
      <c r="AI22" s="62"/>
    </row>
    <row r="23" spans="1:35" ht="36" customHeight="1" x14ac:dyDescent="0.25">
      <c r="A23" s="98"/>
      <c r="B23" s="99"/>
      <c r="C23" s="99"/>
      <c r="D23" s="99"/>
      <c r="E23" s="99"/>
      <c r="F23" s="99"/>
      <c r="G23" s="77" t="s">
        <v>30</v>
      </c>
      <c r="H23" s="77" t="s">
        <v>31</v>
      </c>
      <c r="I23" s="122"/>
      <c r="J23" s="108"/>
      <c r="K23" s="108"/>
      <c r="L23" s="108"/>
      <c r="M23" s="108"/>
      <c r="N23" s="108"/>
      <c r="O23" s="108"/>
      <c r="P23" s="108"/>
      <c r="Q23" s="108"/>
      <c r="R23" s="118"/>
      <c r="S23" s="108"/>
      <c r="T23" s="108"/>
      <c r="U23" s="123"/>
      <c r="V23" s="125"/>
      <c r="W23" s="63"/>
      <c r="X23" s="125"/>
      <c r="Y23" s="116"/>
      <c r="Z23" s="116"/>
      <c r="AA23" s="116"/>
      <c r="AB23" s="116"/>
      <c r="AC23" s="116"/>
      <c r="AD23" s="116"/>
      <c r="AE23" s="127"/>
      <c r="AF23" s="126"/>
      <c r="AG23" s="125"/>
      <c r="AH23" s="125"/>
      <c r="AI23" s="63"/>
    </row>
    <row r="24" spans="1:35" x14ac:dyDescent="0.25">
      <c r="A24" s="1" t="s">
        <v>34</v>
      </c>
      <c r="B24" s="64">
        <v>1993</v>
      </c>
      <c r="C24" s="65">
        <v>5</v>
      </c>
      <c r="D24" s="64">
        <v>99</v>
      </c>
      <c r="E24" s="66"/>
      <c r="F24" s="12">
        <v>5080.3999999999996</v>
      </c>
      <c r="G24" s="86">
        <v>305082</v>
      </c>
      <c r="H24" s="86">
        <v>279715.52</v>
      </c>
      <c r="I24" s="86">
        <f>J24+K24+L24+M24+N24+O24+Q24+P24+R24</f>
        <v>129884</v>
      </c>
      <c r="J24" s="67"/>
      <c r="K24" s="67"/>
      <c r="L24" s="67"/>
      <c r="M24" s="67"/>
      <c r="N24" s="67"/>
      <c r="O24" s="67"/>
      <c r="P24" s="67">
        <v>89541</v>
      </c>
      <c r="Q24" s="69">
        <v>40343</v>
      </c>
      <c r="R24" s="69"/>
      <c r="S24" s="70">
        <f>G24-I24</f>
        <v>175198</v>
      </c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</row>
    <row r="25" spans="1:35" x14ac:dyDescent="0.25">
      <c r="A25" s="1" t="s">
        <v>35</v>
      </c>
      <c r="B25" s="64">
        <v>1983</v>
      </c>
      <c r="C25" s="65">
        <v>5</v>
      </c>
      <c r="D25" s="64">
        <v>80</v>
      </c>
      <c r="E25" s="66"/>
      <c r="F25" s="12">
        <v>4252</v>
      </c>
      <c r="G25" s="86">
        <v>515524.48</v>
      </c>
      <c r="H25" s="86">
        <v>468804.23</v>
      </c>
      <c r="I25" s="86">
        <f t="shared" ref="I25:I28" si="5">J25+K25+L25+M25+N25+O25+Q25+P25+R25</f>
        <v>50905</v>
      </c>
      <c r="J25" s="67">
        <v>13200</v>
      </c>
      <c r="K25" s="67">
        <v>37705</v>
      </c>
      <c r="L25" s="67"/>
      <c r="M25" s="67"/>
      <c r="N25" s="67"/>
      <c r="O25" s="67"/>
      <c r="P25" s="67"/>
      <c r="Q25" s="69"/>
      <c r="R25" s="69"/>
      <c r="S25" s="70">
        <f t="shared" ref="S25:S29" si="6">G25-I25</f>
        <v>464619.48</v>
      </c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</row>
    <row r="26" spans="1:35" x14ac:dyDescent="0.25">
      <c r="A26" s="1" t="s">
        <v>36</v>
      </c>
      <c r="B26" s="64">
        <v>1976</v>
      </c>
      <c r="C26" s="65">
        <v>5</v>
      </c>
      <c r="D26" s="64">
        <v>80</v>
      </c>
      <c r="E26" s="66"/>
      <c r="F26" s="12">
        <v>3708.7</v>
      </c>
      <c r="G26" s="86">
        <v>387250.92</v>
      </c>
      <c r="H26" s="86">
        <v>359627.28</v>
      </c>
      <c r="I26" s="86">
        <f t="shared" si="5"/>
        <v>704433</v>
      </c>
      <c r="J26" s="67">
        <v>7500</v>
      </c>
      <c r="K26" s="67">
        <v>23065</v>
      </c>
      <c r="L26" s="67">
        <v>142400</v>
      </c>
      <c r="M26" s="67">
        <f>183054*2</f>
        <v>366108</v>
      </c>
      <c r="N26" s="67">
        <v>149940</v>
      </c>
      <c r="O26" s="67"/>
      <c r="P26" s="67"/>
      <c r="Q26" s="69"/>
      <c r="R26" s="69">
        <v>15420</v>
      </c>
      <c r="S26" s="70">
        <f t="shared" si="6"/>
        <v>-317182.08000000002</v>
      </c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</row>
    <row r="27" spans="1:35" x14ac:dyDescent="0.25">
      <c r="A27" s="1" t="s">
        <v>37</v>
      </c>
      <c r="B27" s="64">
        <v>1974</v>
      </c>
      <c r="C27" s="65">
        <v>5</v>
      </c>
      <c r="D27" s="64">
        <v>60</v>
      </c>
      <c r="E27" s="66"/>
      <c r="F27" s="12">
        <v>2878.3</v>
      </c>
      <c r="G27" s="86">
        <v>396763.8</v>
      </c>
      <c r="H27" s="86">
        <v>379598.8</v>
      </c>
      <c r="I27" s="86">
        <f t="shared" si="5"/>
        <v>497146</v>
      </c>
      <c r="J27" s="67"/>
      <c r="K27" s="67">
        <v>7345</v>
      </c>
      <c r="L27" s="67"/>
      <c r="M27" s="71">
        <f>183054*2</f>
        <v>366108</v>
      </c>
      <c r="N27" s="67"/>
      <c r="O27" s="67"/>
      <c r="P27" s="67">
        <v>67822</v>
      </c>
      <c r="Q27" s="69">
        <v>44305</v>
      </c>
      <c r="R27" s="69">
        <v>11566</v>
      </c>
      <c r="S27" s="70">
        <f t="shared" si="6"/>
        <v>-100382.20000000001</v>
      </c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</row>
    <row r="28" spans="1:35" x14ac:dyDescent="0.25">
      <c r="A28" s="1" t="s">
        <v>38</v>
      </c>
      <c r="B28" s="64">
        <v>1973</v>
      </c>
      <c r="C28" s="65">
        <v>5</v>
      </c>
      <c r="D28" s="64">
        <v>90</v>
      </c>
      <c r="E28" s="66"/>
      <c r="F28" s="12">
        <v>4367.3999999999996</v>
      </c>
      <c r="G28" s="86">
        <v>752066.34</v>
      </c>
      <c r="H28" s="86">
        <v>708800.04</v>
      </c>
      <c r="I28" s="86">
        <f t="shared" si="5"/>
        <v>1624367</v>
      </c>
      <c r="J28" s="67">
        <v>18900</v>
      </c>
      <c r="K28" s="67">
        <f>19260</f>
        <v>19260</v>
      </c>
      <c r="L28" s="67"/>
      <c r="M28" s="68">
        <v>906936</v>
      </c>
      <c r="N28" s="67"/>
      <c r="O28">
        <v>559634</v>
      </c>
      <c r="P28" s="67">
        <v>38651</v>
      </c>
      <c r="Q28" s="69">
        <v>80986</v>
      </c>
      <c r="R28" s="69"/>
      <c r="S28" s="70">
        <f t="shared" si="6"/>
        <v>-872300.66</v>
      </c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</row>
    <row r="29" spans="1:35" x14ac:dyDescent="0.25">
      <c r="A29" s="19" t="s">
        <v>39</v>
      </c>
      <c r="B29" s="64"/>
      <c r="C29" s="65"/>
      <c r="D29" s="64"/>
      <c r="E29" s="66"/>
      <c r="F29" s="17">
        <f>SUM(F24:F28)</f>
        <v>20286.799999999996</v>
      </c>
      <c r="G29" s="87">
        <f t="shared" ref="G29:R29" si="7">SUM(G24:G28)</f>
        <v>2356687.54</v>
      </c>
      <c r="H29" s="87">
        <f t="shared" si="7"/>
        <v>2196545.87</v>
      </c>
      <c r="I29" s="86">
        <f>J29+K29+L29+M29+N29+O29+Q29+P29+R29</f>
        <v>3006735</v>
      </c>
      <c r="J29" s="37">
        <f t="shared" si="7"/>
        <v>39600</v>
      </c>
      <c r="K29" s="37">
        <f t="shared" si="7"/>
        <v>87375</v>
      </c>
      <c r="L29" s="37">
        <f t="shared" si="7"/>
        <v>142400</v>
      </c>
      <c r="M29" s="37">
        <f>SUM(M26:M28)</f>
        <v>1639152</v>
      </c>
      <c r="N29" s="37">
        <f>SUM(N26:N28)</f>
        <v>149940</v>
      </c>
      <c r="O29" s="37">
        <f t="shared" si="7"/>
        <v>559634</v>
      </c>
      <c r="P29" s="37">
        <f t="shared" si="7"/>
        <v>196014</v>
      </c>
      <c r="Q29" s="37">
        <f t="shared" si="7"/>
        <v>165634</v>
      </c>
      <c r="R29" s="37">
        <f t="shared" si="7"/>
        <v>26986</v>
      </c>
      <c r="S29" s="70">
        <f t="shared" si="6"/>
        <v>-650047.46</v>
      </c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35" x14ac:dyDescent="0.25">
      <c r="A30" s="1"/>
      <c r="B30" s="64"/>
      <c r="C30" s="65"/>
      <c r="D30" s="64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25">
      <c r="A31" s="1"/>
      <c r="B31" s="65"/>
      <c r="C31" s="65"/>
      <c r="D31" s="65"/>
      <c r="E31" s="65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5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4"/>
      <c r="AA32" s="74"/>
      <c r="AB32" s="74"/>
      <c r="AC32" s="74"/>
      <c r="AD32" s="74"/>
      <c r="AE32" s="74"/>
      <c r="AF32" s="74"/>
      <c r="AG32" s="74"/>
      <c r="AH32" s="74"/>
      <c r="AI32" s="74"/>
    </row>
    <row r="33" spans="1:35" x14ac:dyDescent="0.25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4"/>
      <c r="AA33" s="74"/>
      <c r="AB33" s="74"/>
      <c r="AC33" s="74"/>
      <c r="AD33" s="74"/>
      <c r="AE33" s="74"/>
      <c r="AF33" s="74"/>
      <c r="AG33" s="74"/>
      <c r="AH33" s="74"/>
      <c r="AI33" s="74"/>
    </row>
    <row r="34" spans="1:35" x14ac:dyDescent="0.25">
      <c r="A34" s="75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4"/>
      <c r="AA34" s="74"/>
      <c r="AB34" s="74"/>
      <c r="AC34" s="74"/>
      <c r="AD34" s="74"/>
      <c r="AE34" s="74"/>
      <c r="AF34" s="74"/>
      <c r="AG34" s="74"/>
      <c r="AH34" s="74"/>
      <c r="AI34" s="74"/>
    </row>
    <row r="35" spans="1:35" x14ac:dyDescent="0.25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4"/>
      <c r="AA35" s="74"/>
      <c r="AB35" s="74"/>
      <c r="AC35" s="74"/>
      <c r="AD35" s="74"/>
      <c r="AE35" s="74"/>
      <c r="AF35" s="74"/>
      <c r="AG35" s="74"/>
      <c r="AH35" s="74"/>
      <c r="AI35" s="74"/>
    </row>
    <row r="36" spans="1:35" x14ac:dyDescent="0.25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4"/>
      <c r="AA36" s="74"/>
      <c r="AB36" s="74"/>
      <c r="AC36" s="74"/>
      <c r="AD36" s="74"/>
      <c r="AE36" s="74"/>
      <c r="AF36" s="74"/>
      <c r="AG36" s="74"/>
      <c r="AH36" s="74"/>
      <c r="AI36" s="74"/>
    </row>
  </sheetData>
  <mergeCells count="61">
    <mergeCell ref="AG22:AG23"/>
    <mergeCell ref="AH22:AH23"/>
    <mergeCell ref="Z22:Z23"/>
    <mergeCell ref="AA22:AA23"/>
    <mergeCell ref="AB22:AB23"/>
    <mergeCell ref="AC22:AC23"/>
    <mergeCell ref="AD22:AD23"/>
    <mergeCell ref="AE22:AE23"/>
    <mergeCell ref="T22:T23"/>
    <mergeCell ref="U22:U23"/>
    <mergeCell ref="V22:V23"/>
    <mergeCell ref="X22:X23"/>
    <mergeCell ref="AF22:AF23"/>
    <mergeCell ref="F22:F23"/>
    <mergeCell ref="G22:H22"/>
    <mergeCell ref="I22:I23"/>
    <mergeCell ref="J22:J23"/>
    <mergeCell ref="K22:K23"/>
    <mergeCell ref="L22:L23"/>
    <mergeCell ref="AE6:AE7"/>
    <mergeCell ref="AF6:AF7"/>
    <mergeCell ref="AG6:AG7"/>
    <mergeCell ref="AH6:AH7"/>
    <mergeCell ref="W6:W7"/>
    <mergeCell ref="X6:X7"/>
    <mergeCell ref="Q6:R6"/>
    <mergeCell ref="Y22:Y23"/>
    <mergeCell ref="M22:M23"/>
    <mergeCell ref="N22:N23"/>
    <mergeCell ref="O22:O23"/>
    <mergeCell ref="P22:P23"/>
    <mergeCell ref="Q22:Q23"/>
    <mergeCell ref="R22:R23"/>
    <mergeCell ref="S22:S23"/>
    <mergeCell ref="AI6:AI7"/>
    <mergeCell ref="A22:A23"/>
    <mergeCell ref="B22:B23"/>
    <mergeCell ref="C22:C23"/>
    <mergeCell ref="D22:D23"/>
    <mergeCell ref="E22:E23"/>
    <mergeCell ref="Y6:Y7"/>
    <mergeCell ref="Z6:Z7"/>
    <mergeCell ref="AA6:AA7"/>
    <mergeCell ref="AB6:AB7"/>
    <mergeCell ref="AC6:AC7"/>
    <mergeCell ref="AD6:AD7"/>
    <mergeCell ref="S6:S7"/>
    <mergeCell ref="T6:T7"/>
    <mergeCell ref="U6:U7"/>
    <mergeCell ref="V6:V7"/>
    <mergeCell ref="G6:H6"/>
    <mergeCell ref="I6:J6"/>
    <mergeCell ref="K6:L6"/>
    <mergeCell ref="M6:N6"/>
    <mergeCell ref="O6:P6"/>
    <mergeCell ref="F6:F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G35"/>
  <sheetViews>
    <sheetView topLeftCell="A7" workbookViewId="0">
      <selection activeCell="T18" sqref="T18"/>
    </sheetView>
  </sheetViews>
  <sheetFormatPr defaultRowHeight="15" x14ac:dyDescent="0.25"/>
  <cols>
    <col min="1" max="1" width="3.42578125" customWidth="1"/>
    <col min="2" max="2" width="21.140625" customWidth="1"/>
    <col min="8" max="8" width="13.140625" customWidth="1"/>
    <col min="9" max="9" width="11.28515625" customWidth="1"/>
    <col min="10" max="10" width="14" customWidth="1"/>
    <col min="11" max="11" width="12.7109375" customWidth="1"/>
    <col min="16" max="16" width="12" customWidth="1"/>
    <col min="17" max="17" width="14" customWidth="1"/>
    <col min="18" max="18" width="12.28515625" customWidth="1"/>
    <col min="21" max="21" width="12.5703125" customWidth="1"/>
    <col min="23" max="23" width="11.85546875" customWidth="1"/>
    <col min="24" max="24" width="12" customWidth="1"/>
    <col min="31" max="31" width="12.140625" customWidth="1"/>
    <col min="32" max="32" width="11.42578125" customWidth="1"/>
    <col min="33" max="33" width="12.28515625" customWidth="1"/>
  </cols>
  <sheetData>
    <row r="4" spans="1:33" ht="18.75" x14ac:dyDescent="0.3">
      <c r="B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33" x14ac:dyDescent="0.25"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33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33" x14ac:dyDescent="0.25">
      <c r="A7" s="97"/>
      <c r="B7" s="129" t="s">
        <v>2</v>
      </c>
      <c r="C7" s="131" t="s">
        <v>3</v>
      </c>
      <c r="D7" s="131" t="s">
        <v>4</v>
      </c>
      <c r="E7" s="131" t="s">
        <v>5</v>
      </c>
      <c r="F7" s="131" t="s">
        <v>6</v>
      </c>
      <c r="G7" s="131" t="s">
        <v>7</v>
      </c>
      <c r="H7" s="132" t="s">
        <v>9</v>
      </c>
      <c r="I7" s="133"/>
      <c r="J7" s="134" t="s">
        <v>10</v>
      </c>
      <c r="K7" s="135"/>
      <c r="L7" s="132" t="s">
        <v>11</v>
      </c>
      <c r="M7" s="133"/>
      <c r="N7" s="132" t="s">
        <v>12</v>
      </c>
      <c r="O7" s="133"/>
      <c r="P7" s="128" t="s">
        <v>53</v>
      </c>
      <c r="Q7" s="128"/>
      <c r="R7" s="142" t="s">
        <v>13</v>
      </c>
      <c r="S7" s="136" t="s">
        <v>14</v>
      </c>
      <c r="T7" s="137" t="s">
        <v>15</v>
      </c>
      <c r="U7" s="137" t="s">
        <v>16</v>
      </c>
      <c r="V7" s="137" t="s">
        <v>54</v>
      </c>
      <c r="W7" s="138" t="s">
        <v>19</v>
      </c>
      <c r="X7" s="137" t="s">
        <v>55</v>
      </c>
      <c r="Y7" s="139" t="s">
        <v>69</v>
      </c>
      <c r="Z7" s="138" t="s">
        <v>56</v>
      </c>
      <c r="AA7" s="137" t="s">
        <v>57</v>
      </c>
      <c r="AB7" s="137" t="s">
        <v>58</v>
      </c>
      <c r="AC7" s="138" t="s">
        <v>25</v>
      </c>
      <c r="AD7" s="137" t="s">
        <v>26</v>
      </c>
      <c r="AE7" s="137" t="s">
        <v>59</v>
      </c>
      <c r="AF7" s="137" t="s">
        <v>28</v>
      </c>
      <c r="AG7" s="137" t="s">
        <v>29</v>
      </c>
    </row>
    <row r="8" spans="1:33" ht="76.5" customHeight="1" x14ac:dyDescent="0.25">
      <c r="A8" s="98"/>
      <c r="B8" s="130"/>
      <c r="C8" s="131"/>
      <c r="D8" s="131"/>
      <c r="E8" s="131"/>
      <c r="F8" s="131"/>
      <c r="G8" s="131"/>
      <c r="H8" s="5" t="s">
        <v>30</v>
      </c>
      <c r="I8" s="5" t="s">
        <v>31</v>
      </c>
      <c r="J8" s="6" t="s">
        <v>32</v>
      </c>
      <c r="K8" s="7" t="s">
        <v>33</v>
      </c>
      <c r="L8" s="6" t="s">
        <v>32</v>
      </c>
      <c r="M8" s="7" t="s">
        <v>33</v>
      </c>
      <c r="N8" s="6" t="s">
        <v>32</v>
      </c>
      <c r="O8" s="7" t="s">
        <v>33</v>
      </c>
      <c r="P8" s="79" t="s">
        <v>32</v>
      </c>
      <c r="Q8" s="80" t="s">
        <v>33</v>
      </c>
      <c r="R8" s="143"/>
      <c r="S8" s="136"/>
      <c r="T8" s="137"/>
      <c r="U8" s="137"/>
      <c r="V8" s="137"/>
      <c r="W8" s="138"/>
      <c r="X8" s="137"/>
      <c r="Y8" s="140"/>
      <c r="Z8" s="138"/>
      <c r="AA8" s="137"/>
      <c r="AB8" s="141"/>
      <c r="AC8" s="141"/>
      <c r="AD8" s="137"/>
      <c r="AE8" s="137"/>
      <c r="AF8" s="137"/>
      <c r="AG8" s="137"/>
    </row>
    <row r="9" spans="1:33" x14ac:dyDescent="0.25">
      <c r="A9" s="8">
        <v>1</v>
      </c>
      <c r="B9" s="9" t="s">
        <v>60</v>
      </c>
      <c r="C9" s="10">
        <v>1975</v>
      </c>
      <c r="D9" s="11">
        <v>5</v>
      </c>
      <c r="E9" s="12">
        <v>60</v>
      </c>
      <c r="F9" s="12"/>
      <c r="G9" s="12">
        <v>2701</v>
      </c>
      <c r="H9" s="12"/>
      <c r="I9" s="12"/>
      <c r="J9" s="12">
        <v>437433.77</v>
      </c>
      <c r="K9" s="12">
        <v>423443.41</v>
      </c>
      <c r="L9" s="12"/>
      <c r="M9" s="12"/>
      <c r="N9" s="12">
        <v>15694.56</v>
      </c>
      <c r="O9" s="12">
        <v>15228.21</v>
      </c>
      <c r="P9" s="81">
        <f t="shared" ref="P9:Q11" si="0">H9+J9+L9+N9</f>
        <v>453128.33</v>
      </c>
      <c r="Q9" s="81">
        <f t="shared" si="0"/>
        <v>438671.62</v>
      </c>
      <c r="R9" s="82">
        <f>S9+T9+U9+V9+W9+X9+Z9+AA9+AB9+AC9+AD9+AE9+AF9+Y9</f>
        <v>571712.03</v>
      </c>
      <c r="S9" s="13">
        <v>12609.16</v>
      </c>
      <c r="T9" s="13">
        <v>1635.12</v>
      </c>
      <c r="U9" s="13">
        <v>217306.18</v>
      </c>
      <c r="V9" s="13">
        <v>1730.6</v>
      </c>
      <c r="W9" s="13">
        <v>29584.52</v>
      </c>
      <c r="X9" s="13">
        <v>122501.42</v>
      </c>
      <c r="Y9" s="13">
        <v>11650</v>
      </c>
      <c r="Z9" s="13">
        <v>50.44</v>
      </c>
      <c r="AA9" s="13">
        <v>7436</v>
      </c>
      <c r="AB9" s="13">
        <v>713.58</v>
      </c>
      <c r="AC9" s="13">
        <v>21249.38</v>
      </c>
      <c r="AD9" s="13">
        <v>22337.040000000001</v>
      </c>
      <c r="AE9" s="13">
        <v>119995.86</v>
      </c>
      <c r="AF9" s="13">
        <v>2912.73</v>
      </c>
      <c r="AG9" s="13">
        <f>P9-R9</f>
        <v>-118583.70000000001</v>
      </c>
    </row>
    <row r="10" spans="1:33" x14ac:dyDescent="0.25">
      <c r="A10" s="8">
        <v>2</v>
      </c>
      <c r="B10" s="9" t="s">
        <v>61</v>
      </c>
      <c r="C10" s="10">
        <v>1975</v>
      </c>
      <c r="D10" s="11">
        <v>5</v>
      </c>
      <c r="E10" s="12">
        <v>10</v>
      </c>
      <c r="F10" s="12"/>
      <c r="G10" s="12">
        <v>609.6</v>
      </c>
      <c r="H10" s="12"/>
      <c r="I10" s="12"/>
      <c r="J10" s="12">
        <v>97636.37</v>
      </c>
      <c r="K10" s="12">
        <v>86758.24</v>
      </c>
      <c r="L10" s="12"/>
      <c r="M10" s="12"/>
      <c r="N10" s="12">
        <v>4408.8</v>
      </c>
      <c r="O10" s="12">
        <v>3801.97</v>
      </c>
      <c r="P10" s="81">
        <f t="shared" si="0"/>
        <v>102045.17</v>
      </c>
      <c r="Q10" s="81">
        <f t="shared" si="0"/>
        <v>90560.21</v>
      </c>
      <c r="R10" s="82">
        <f>S10+T10+U10+V10+W10+X10+Z10+AA10+AB10+AC10+AD10+AE10+AF10</f>
        <v>117463.95999999998</v>
      </c>
      <c r="S10" s="13">
        <v>2845.83</v>
      </c>
      <c r="T10" s="13">
        <v>474.24</v>
      </c>
      <c r="U10" s="13">
        <v>49044.75</v>
      </c>
      <c r="V10" s="13">
        <v>390.6</v>
      </c>
      <c r="W10" s="13">
        <v>2531.41</v>
      </c>
      <c r="X10" s="13">
        <v>27647.86</v>
      </c>
      <c r="Y10" s="13"/>
      <c r="Z10" s="13">
        <v>11.39</v>
      </c>
      <c r="AA10" s="13">
        <v>1678.26</v>
      </c>
      <c r="AB10" s="13">
        <v>161.04</v>
      </c>
      <c r="AC10" s="13">
        <v>4790.04</v>
      </c>
      <c r="AD10" s="13"/>
      <c r="AE10" s="13">
        <v>27348.73</v>
      </c>
      <c r="AF10" s="13">
        <v>539.80999999999995</v>
      </c>
      <c r="AG10" s="13">
        <f>P10-R10</f>
        <v>-15418.789999999979</v>
      </c>
    </row>
    <row r="11" spans="1:33" x14ac:dyDescent="0.25">
      <c r="A11" s="8">
        <v>3</v>
      </c>
      <c r="B11" s="9" t="s">
        <v>62</v>
      </c>
      <c r="C11" s="10">
        <v>1975</v>
      </c>
      <c r="D11" s="11">
        <v>5</v>
      </c>
      <c r="E11" s="12">
        <v>60</v>
      </c>
      <c r="F11" s="12"/>
      <c r="G11" s="12">
        <v>2698.6</v>
      </c>
      <c r="H11" s="12"/>
      <c r="I11" s="12"/>
      <c r="J11" s="12">
        <v>437093.82</v>
      </c>
      <c r="K11" s="12">
        <v>435142.43</v>
      </c>
      <c r="L11" s="12"/>
      <c r="M11" s="12"/>
      <c r="N11" s="12">
        <v>15694.5</v>
      </c>
      <c r="O11" s="12">
        <v>15015.72</v>
      </c>
      <c r="P11" s="81">
        <f t="shared" si="0"/>
        <v>452788.32</v>
      </c>
      <c r="Q11" s="81">
        <f t="shared" si="0"/>
        <v>450158.14999999997</v>
      </c>
      <c r="R11" s="82">
        <f>S11+T11+U11+V11+W11+X11+Z11+AA11+AB11+AC11+AD11+AE11+AF11+Y11</f>
        <v>551107.96</v>
      </c>
      <c r="S11" s="13">
        <v>12597.5</v>
      </c>
      <c r="T11" s="13">
        <v>1635.12</v>
      </c>
      <c r="U11" s="13">
        <v>219223.4</v>
      </c>
      <c r="V11" s="13">
        <v>1729</v>
      </c>
      <c r="W11" s="13">
        <v>22112.639999999999</v>
      </c>
      <c r="X11" s="13">
        <v>122388.03</v>
      </c>
      <c r="Y11" s="13">
        <v>11650</v>
      </c>
      <c r="Z11" s="13">
        <v>50.4</v>
      </c>
      <c r="AA11" s="13">
        <v>7429.11</v>
      </c>
      <c r="AB11" s="13">
        <v>712.93</v>
      </c>
      <c r="AC11" s="13">
        <v>21232.68</v>
      </c>
      <c r="AD11" s="13">
        <v>15063.79</v>
      </c>
      <c r="AE11" s="13">
        <v>113475.69</v>
      </c>
      <c r="AF11" s="13">
        <v>1807.67</v>
      </c>
      <c r="AG11" s="13">
        <f>P11-R11</f>
        <v>-98319.639999999956</v>
      </c>
    </row>
    <row r="12" spans="1:33" x14ac:dyDescent="0.25">
      <c r="A12" s="8">
        <v>4</v>
      </c>
      <c r="B12" s="9" t="s">
        <v>63</v>
      </c>
      <c r="C12" s="10">
        <v>1981</v>
      </c>
      <c r="D12" s="11">
        <v>5</v>
      </c>
      <c r="E12" s="12">
        <v>115</v>
      </c>
      <c r="F12" s="12"/>
      <c r="G12" s="12">
        <v>6183.4</v>
      </c>
      <c r="H12" s="12"/>
      <c r="I12" s="12">
        <v>44.92</v>
      </c>
      <c r="J12" s="12">
        <v>1031380.79</v>
      </c>
      <c r="K12" s="12">
        <v>958091.98</v>
      </c>
      <c r="L12" s="12"/>
      <c r="M12" s="12">
        <v>10.25</v>
      </c>
      <c r="N12" s="12">
        <v>8765.8700000000008</v>
      </c>
      <c r="O12" s="12">
        <v>8357.36</v>
      </c>
      <c r="P12" s="81">
        <f>H12+J12+L12+N12</f>
        <v>1040146.66</v>
      </c>
      <c r="Q12" s="81">
        <f>I12+K12+M12+O12</f>
        <v>966504.51</v>
      </c>
      <c r="R12" s="82">
        <f>S12+T12+U12+V12+W12+X12+Z12+AA12+AB12+AC12+AD12+AE12+AF12</f>
        <v>1151437.72</v>
      </c>
      <c r="S12" s="13">
        <v>25876.03</v>
      </c>
      <c r="T12" s="13"/>
      <c r="U12" s="13">
        <v>497479.11</v>
      </c>
      <c r="V12" s="13">
        <v>3961.85</v>
      </c>
      <c r="W12" s="13">
        <v>28254.799999999999</v>
      </c>
      <c r="X12" s="13">
        <v>280442.5</v>
      </c>
      <c r="Y12" s="13"/>
      <c r="Z12" s="13">
        <v>115.48</v>
      </c>
      <c r="AA12" s="13">
        <v>17023.189999999999</v>
      </c>
      <c r="AB12" s="13">
        <v>1633.64</v>
      </c>
      <c r="AC12" s="13">
        <v>43332.17</v>
      </c>
      <c r="AD12" s="13">
        <v>28670.78</v>
      </c>
      <c r="AE12" s="13">
        <v>218638.51</v>
      </c>
      <c r="AF12" s="13">
        <v>6009.66</v>
      </c>
      <c r="AG12" s="13">
        <f>P12-R12</f>
        <v>-111291.05999999994</v>
      </c>
    </row>
    <row r="13" spans="1:33" x14ac:dyDescent="0.25">
      <c r="A13" s="1"/>
      <c r="B13" s="9" t="s">
        <v>64</v>
      </c>
      <c r="C13" s="14"/>
      <c r="D13" s="15"/>
      <c r="E13" s="14"/>
      <c r="F13" s="14">
        <f t="shared" ref="F13:AG13" si="1">SUM(F9:F12)</f>
        <v>0</v>
      </c>
      <c r="G13" s="14">
        <f t="shared" si="1"/>
        <v>12192.599999999999</v>
      </c>
      <c r="H13" s="14">
        <f t="shared" si="1"/>
        <v>0</v>
      </c>
      <c r="I13" s="14">
        <f t="shared" si="1"/>
        <v>44.92</v>
      </c>
      <c r="J13" s="14">
        <f t="shared" si="1"/>
        <v>2003544.75</v>
      </c>
      <c r="K13" s="14">
        <f t="shared" si="1"/>
        <v>1903436.06</v>
      </c>
      <c r="L13" s="14">
        <f t="shared" si="1"/>
        <v>0</v>
      </c>
      <c r="M13" s="14">
        <f t="shared" si="1"/>
        <v>10.25</v>
      </c>
      <c r="N13" s="14">
        <f t="shared" si="1"/>
        <v>44563.73</v>
      </c>
      <c r="O13" s="14">
        <f t="shared" si="1"/>
        <v>42403.26</v>
      </c>
      <c r="P13" s="83">
        <f t="shared" si="1"/>
        <v>2048108.48</v>
      </c>
      <c r="Q13" s="83">
        <f t="shared" si="1"/>
        <v>1945894.49</v>
      </c>
      <c r="R13" s="83">
        <f t="shared" si="1"/>
        <v>2391721.67</v>
      </c>
      <c r="S13" s="14">
        <f t="shared" si="1"/>
        <v>53928.52</v>
      </c>
      <c r="T13" s="14">
        <f t="shared" si="1"/>
        <v>3744.4799999999996</v>
      </c>
      <c r="U13" s="14">
        <f t="shared" si="1"/>
        <v>983053.44</v>
      </c>
      <c r="V13" s="14">
        <f t="shared" si="1"/>
        <v>7812.0499999999993</v>
      </c>
      <c r="W13" s="14">
        <f t="shared" si="1"/>
        <v>82483.37</v>
      </c>
      <c r="X13" s="14">
        <f t="shared" si="1"/>
        <v>552979.81000000006</v>
      </c>
      <c r="Y13" s="14"/>
      <c r="Z13" s="14">
        <f t="shared" si="1"/>
        <v>227.70999999999998</v>
      </c>
      <c r="AA13" s="14">
        <f t="shared" si="1"/>
        <v>33566.559999999998</v>
      </c>
      <c r="AB13" s="14">
        <f t="shared" si="1"/>
        <v>3221.19</v>
      </c>
      <c r="AC13" s="14">
        <f t="shared" si="1"/>
        <v>90604.27</v>
      </c>
      <c r="AD13" s="14">
        <f t="shared" si="1"/>
        <v>66071.61</v>
      </c>
      <c r="AE13" s="14">
        <f t="shared" si="1"/>
        <v>479458.79000000004</v>
      </c>
      <c r="AF13" s="14">
        <f t="shared" si="1"/>
        <v>11269.869999999999</v>
      </c>
      <c r="AG13" s="14">
        <f t="shared" si="1"/>
        <v>-343613.18999999989</v>
      </c>
    </row>
    <row r="14" spans="1:33" x14ac:dyDescent="0.25">
      <c r="A14" s="1"/>
      <c r="B14" s="16"/>
      <c r="C14" s="17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84"/>
      <c r="Q14" s="84"/>
      <c r="R14" s="85"/>
      <c r="S14" s="20"/>
      <c r="T14" s="20"/>
      <c r="U14" s="20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x14ac:dyDescent="0.25">
      <c r="A15" s="1"/>
      <c r="B15" s="16"/>
      <c r="C15" s="17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84"/>
      <c r="Q15" s="84"/>
      <c r="R15" s="85"/>
      <c r="S15" s="20"/>
      <c r="T15" s="20"/>
      <c r="U15" s="20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ht="18.75" x14ac:dyDescent="0.3">
      <c r="A16" s="2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ht="18.75" x14ac:dyDescent="0.3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ht="18.75" x14ac:dyDescent="0.3">
      <c r="A18" s="25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ht="18.75" x14ac:dyDescent="0.3">
      <c r="A19" s="25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ht="18.75" x14ac:dyDescent="0.3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ht="18.75" x14ac:dyDescent="0.3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ht="18.75" x14ac:dyDescent="0.3">
      <c r="A22" s="25"/>
      <c r="B22" s="24" t="s">
        <v>65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5">
      <c r="A23" s="97"/>
      <c r="B23" s="129" t="s">
        <v>2</v>
      </c>
      <c r="C23" s="99" t="s">
        <v>3</v>
      </c>
      <c r="D23" s="99" t="s">
        <v>4</v>
      </c>
      <c r="E23" s="99" t="s">
        <v>5</v>
      </c>
      <c r="F23" s="99" t="s">
        <v>6</v>
      </c>
      <c r="G23" s="99" t="s">
        <v>7</v>
      </c>
      <c r="H23" s="119" t="s">
        <v>42</v>
      </c>
      <c r="I23" s="120"/>
      <c r="J23" s="144" t="s">
        <v>66</v>
      </c>
      <c r="K23" s="107" t="s">
        <v>44</v>
      </c>
      <c r="L23" s="107" t="s">
        <v>45</v>
      </c>
      <c r="M23" s="107" t="s">
        <v>46</v>
      </c>
      <c r="N23" s="107" t="s">
        <v>67</v>
      </c>
      <c r="O23" s="107" t="s">
        <v>68</v>
      </c>
      <c r="P23" s="146"/>
      <c r="Q23" s="147"/>
      <c r="R23" s="107"/>
      <c r="S23" s="123"/>
      <c r="T23" s="123"/>
      <c r="U23" s="123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</row>
    <row r="24" spans="1:33" ht="36.75" customHeight="1" x14ac:dyDescent="0.25">
      <c r="A24" s="98"/>
      <c r="B24" s="130"/>
      <c r="C24" s="99"/>
      <c r="D24" s="99"/>
      <c r="E24" s="99"/>
      <c r="F24" s="99"/>
      <c r="G24" s="99"/>
      <c r="H24" s="77" t="s">
        <v>30</v>
      </c>
      <c r="I24" s="77" t="s">
        <v>31</v>
      </c>
      <c r="J24" s="145"/>
      <c r="K24" s="108"/>
      <c r="L24" s="108"/>
      <c r="M24" s="108"/>
      <c r="N24" s="108"/>
      <c r="O24" s="108"/>
      <c r="P24" s="26"/>
      <c r="Q24" s="27"/>
      <c r="R24" s="108"/>
      <c r="S24" s="123"/>
      <c r="T24" s="123"/>
      <c r="U24" s="123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</row>
    <row r="25" spans="1:33" x14ac:dyDescent="0.25">
      <c r="A25" s="8">
        <v>1</v>
      </c>
      <c r="B25" s="16" t="s">
        <v>63</v>
      </c>
      <c r="C25" s="28">
        <v>1981</v>
      </c>
      <c r="D25" s="18">
        <v>5</v>
      </c>
      <c r="E25" s="17">
        <v>115</v>
      </c>
      <c r="F25" s="17"/>
      <c r="G25" s="17">
        <v>6183.4</v>
      </c>
      <c r="H25" s="78">
        <v>148400.13</v>
      </c>
      <c r="I25" s="78">
        <v>137869.66</v>
      </c>
      <c r="J25" s="78">
        <f>K25+L25+M25+N25+O25+P25+Q25</f>
        <v>25984.21</v>
      </c>
      <c r="K25" s="17">
        <v>1800</v>
      </c>
      <c r="L25" s="17"/>
      <c r="M25" s="17"/>
      <c r="N25" s="17">
        <v>21049.360000000001</v>
      </c>
      <c r="O25" s="17">
        <f>784.8+2350.05</f>
        <v>3134.8500000000004</v>
      </c>
      <c r="P25" s="19"/>
      <c r="Q25" s="19"/>
      <c r="R25" s="20"/>
      <c r="S25" s="20"/>
      <c r="T25" s="20"/>
      <c r="U25" s="20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21"/>
    </row>
    <row r="26" spans="1:33" x14ac:dyDescent="0.25">
      <c r="A26" s="8">
        <v>2</v>
      </c>
      <c r="B26" s="16" t="s">
        <v>60</v>
      </c>
      <c r="C26" s="28">
        <v>1975</v>
      </c>
      <c r="D26" s="18">
        <v>5</v>
      </c>
      <c r="E26" s="17">
        <v>60</v>
      </c>
      <c r="F26" s="17"/>
      <c r="G26" s="17">
        <v>2701</v>
      </c>
      <c r="H26" s="78">
        <v>162048</v>
      </c>
      <c r="I26" s="78">
        <v>154726.81</v>
      </c>
      <c r="J26" s="78">
        <f t="shared" ref="J26:J28" si="2">K26+L26+M26+N26+O26+P26+Q26</f>
        <v>104389.81000000001</v>
      </c>
      <c r="K26" s="17"/>
      <c r="L26" s="17"/>
      <c r="M26" s="17">
        <v>95214</v>
      </c>
      <c r="N26" s="17">
        <f>3825.21+2431.64</f>
        <v>6256.85</v>
      </c>
      <c r="O26" s="17">
        <f>171.82+1990.14+757</f>
        <v>2918.96</v>
      </c>
      <c r="P26" s="19"/>
      <c r="Q26" s="19"/>
      <c r="R26" s="20"/>
      <c r="S26" s="20"/>
      <c r="T26" s="20"/>
      <c r="U26" s="20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21"/>
    </row>
    <row r="27" spans="1:33" x14ac:dyDescent="0.25">
      <c r="A27" s="8">
        <v>3</v>
      </c>
      <c r="B27" s="16" t="s">
        <v>61</v>
      </c>
      <c r="C27" s="28">
        <v>1975</v>
      </c>
      <c r="D27" s="18">
        <v>5</v>
      </c>
      <c r="E27" s="17">
        <v>10</v>
      </c>
      <c r="F27" s="17"/>
      <c r="G27" s="17">
        <v>609.6</v>
      </c>
      <c r="H27" s="78">
        <v>36576</v>
      </c>
      <c r="I27" s="78">
        <v>30932.83</v>
      </c>
      <c r="J27" s="78">
        <f t="shared" si="2"/>
        <v>13694.92</v>
      </c>
      <c r="K27" s="17">
        <v>3000</v>
      </c>
      <c r="L27" s="17">
        <v>3436</v>
      </c>
      <c r="M27" s="17"/>
      <c r="N27" s="17">
        <v>7258.92</v>
      </c>
      <c r="O27" s="17"/>
      <c r="P27" s="19"/>
      <c r="Q27" s="19"/>
      <c r="R27" s="20"/>
      <c r="S27" s="20"/>
      <c r="T27" s="20"/>
      <c r="U27" s="20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1"/>
    </row>
    <row r="28" spans="1:33" x14ac:dyDescent="0.25">
      <c r="A28" s="8">
        <v>4</v>
      </c>
      <c r="B28" s="16" t="s">
        <v>62</v>
      </c>
      <c r="C28" s="28">
        <v>1975</v>
      </c>
      <c r="D28" s="18">
        <v>5</v>
      </c>
      <c r="E28" s="17">
        <v>60</v>
      </c>
      <c r="F28" s="17"/>
      <c r="G28" s="17">
        <v>2698.6</v>
      </c>
      <c r="H28" s="78">
        <v>161922</v>
      </c>
      <c r="I28" s="78">
        <v>149839.07999999999</v>
      </c>
      <c r="J28" s="78">
        <f t="shared" si="2"/>
        <v>25906.71</v>
      </c>
      <c r="K28" s="17">
        <v>15000</v>
      </c>
      <c r="L28" s="17">
        <v>3436</v>
      </c>
      <c r="M28" s="17"/>
      <c r="N28" s="17">
        <f>7113.51+357.2</f>
        <v>7470.71</v>
      </c>
      <c r="O28" s="17"/>
      <c r="P28" s="19"/>
      <c r="Q28" s="19"/>
      <c r="R28" s="20"/>
      <c r="S28" s="20"/>
      <c r="T28" s="20"/>
      <c r="U28" s="20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21"/>
    </row>
    <row r="29" spans="1:33" x14ac:dyDescent="0.25">
      <c r="A29" s="1"/>
      <c r="B29" s="16" t="s">
        <v>64</v>
      </c>
      <c r="C29" s="17"/>
      <c r="D29" s="18"/>
      <c r="E29" s="17"/>
      <c r="F29" s="17"/>
      <c r="G29" s="17">
        <f>SUM(G25:G28)</f>
        <v>12192.6</v>
      </c>
      <c r="H29" s="78">
        <f t="shared" ref="H29:M29" si="3">SUM(H25:H28)</f>
        <v>508946.13</v>
      </c>
      <c r="I29" s="78">
        <f t="shared" si="3"/>
        <v>473368.38</v>
      </c>
      <c r="J29" s="78">
        <f t="shared" si="3"/>
        <v>169975.65000000002</v>
      </c>
      <c r="K29" s="17">
        <f t="shared" si="3"/>
        <v>19800</v>
      </c>
      <c r="L29" s="17">
        <f t="shared" si="3"/>
        <v>6872</v>
      </c>
      <c r="M29" s="17">
        <f t="shared" si="3"/>
        <v>95214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x14ac:dyDescent="0.25">
      <c r="A30" s="29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x14ac:dyDescent="0.25">
      <c r="A31" s="32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25">
      <c r="A32" s="32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</row>
    <row r="33" spans="1:33" x14ac:dyDescent="0.25">
      <c r="A33" s="32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</row>
    <row r="34" spans="1:33" x14ac:dyDescent="0.25">
      <c r="A34" s="33"/>
      <c r="B34" s="34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</row>
    <row r="35" spans="1:33" x14ac:dyDescent="0.25">
      <c r="A35" s="8">
        <v>1</v>
      </c>
      <c r="B35" s="16" t="s">
        <v>60</v>
      </c>
      <c r="C35" s="35">
        <v>1975</v>
      </c>
      <c r="D35" s="36">
        <v>5</v>
      </c>
      <c r="E35" s="37">
        <v>60</v>
      </c>
      <c r="F35" s="38"/>
      <c r="G35" s="37">
        <v>2701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</row>
  </sheetData>
  <mergeCells count="59">
    <mergeCell ref="AF23:AF24"/>
    <mergeCell ref="AG23:AG24"/>
    <mergeCell ref="Y23:Y24"/>
    <mergeCell ref="Z23:Z24"/>
    <mergeCell ref="AA23:AA24"/>
    <mergeCell ref="AB23:AB24"/>
    <mergeCell ref="AC23:AC24"/>
    <mergeCell ref="AD23:AD24"/>
    <mergeCell ref="AE23:AE24"/>
    <mergeCell ref="T23:T24"/>
    <mergeCell ref="U23:U24"/>
    <mergeCell ref="V23:V24"/>
    <mergeCell ref="W23:W24"/>
    <mergeCell ref="X23:X24"/>
    <mergeCell ref="S23:S24"/>
    <mergeCell ref="F23:F24"/>
    <mergeCell ref="G23:G24"/>
    <mergeCell ref="H23:I23"/>
    <mergeCell ref="J23:J24"/>
    <mergeCell ref="K23:K24"/>
    <mergeCell ref="L23:L24"/>
    <mergeCell ref="M23:M24"/>
    <mergeCell ref="N23:N24"/>
    <mergeCell ref="O23:O24"/>
    <mergeCell ref="P23:Q23"/>
    <mergeCell ref="R23:R24"/>
    <mergeCell ref="AD7:AD8"/>
    <mergeCell ref="AE7:AE8"/>
    <mergeCell ref="AF7:AF8"/>
    <mergeCell ref="AG7:AG8"/>
    <mergeCell ref="A23:A24"/>
    <mergeCell ref="B23:B24"/>
    <mergeCell ref="C23:C24"/>
    <mergeCell ref="D23:D24"/>
    <mergeCell ref="E23:E24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P7:Q7"/>
    <mergeCell ref="A7:A8"/>
    <mergeCell ref="B7:B8"/>
    <mergeCell ref="C7:C8"/>
    <mergeCell ref="D7:D8"/>
    <mergeCell ref="E7:E8"/>
    <mergeCell ref="F7:F8"/>
    <mergeCell ref="G7:G8"/>
    <mergeCell ref="H7:I7"/>
    <mergeCell ref="J7:K7"/>
    <mergeCell ref="L7:M7"/>
    <mergeCell ref="N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разбегаево</vt:lpstr>
      <vt:lpstr>горбунки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2020-06-23T12:47:09Z</dcterms:modified>
</cp:coreProperties>
</file>